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bwm-my.sharepoint.com/personal/lul576_rbwm_gov_uk/Documents/Sharepoint uploads for kzw - Copy/"/>
    </mc:Choice>
  </mc:AlternateContent>
  <xr:revisionPtr revIDLastSave="0" documentId="8_{CC82EB73-85C2-457F-B64D-CC09D8EE9716}" xr6:coauthVersionLast="47" xr6:coauthVersionMax="47" xr10:uidLastSave="{00000000-0000-0000-0000-000000000000}"/>
  <bookViews>
    <workbookView xWindow="-110" yWindow="-110" windowWidth="19420" windowHeight="10300" firstSheet="8" activeTab="9" xr2:uid="{17301362-A8B1-4FF4-8E8C-5022CDAB5A9A}"/>
  </bookViews>
  <sheets>
    <sheet name="April 18" sheetId="1" r:id="rId1"/>
    <sheet name="April 19" sheetId="3" r:id="rId2"/>
    <sheet name="April 20" sheetId="4" r:id="rId3"/>
    <sheet name="April 21" sheetId="5" r:id="rId4"/>
    <sheet name="April 22" sheetId="7" r:id="rId5"/>
    <sheet name="April 23" sheetId="9" r:id="rId6"/>
    <sheet name="April 23 interim" sheetId="8" r:id="rId7"/>
    <sheet name="April 24" sheetId="10" r:id="rId8"/>
    <sheet name="April 25" sheetId="12" r:id="rId9"/>
    <sheet name="April 26" sheetId="15" r:id="rId10"/>
    <sheet name="April 25 (Workings)" sheetId="14" state="hidden" r:id="rId11"/>
    <sheet name="2025 Circular" sheetId="13" state="hidden" r:id="rId12"/>
  </sheets>
  <definedNames>
    <definedName name="_xlnm._FilterDatabase" localSheetId="8" hidden="1">'April 25'!#REF!</definedName>
    <definedName name="_xlnm._FilterDatabase" localSheetId="10" hidden="1">'April 25 (Workings)'!$J$8:$M$91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5" l="1"/>
  <c r="E89" i="15" l="1"/>
  <c r="D89" i="15"/>
  <c r="E87" i="15"/>
  <c r="D87" i="15"/>
  <c r="E85" i="15"/>
  <c r="D85" i="15"/>
  <c r="E83" i="15"/>
  <c r="D83" i="15"/>
  <c r="E81" i="15"/>
  <c r="D81" i="15"/>
  <c r="E79" i="15"/>
  <c r="D79" i="15"/>
  <c r="E77" i="15"/>
  <c r="D77" i="15"/>
  <c r="G65" i="15"/>
  <c r="F65" i="15"/>
  <c r="E65" i="15"/>
  <c r="D65" i="15"/>
  <c r="G64" i="15"/>
  <c r="F64" i="15"/>
  <c r="E64" i="15"/>
  <c r="D64" i="15"/>
  <c r="G63" i="15"/>
  <c r="F63" i="15"/>
  <c r="E63" i="15"/>
  <c r="D63" i="15"/>
  <c r="G62" i="15"/>
  <c r="F62" i="15"/>
  <c r="E62" i="15"/>
  <c r="D62" i="15"/>
  <c r="G61" i="15"/>
  <c r="F61" i="15"/>
  <c r="E61" i="15"/>
  <c r="D61" i="15"/>
  <c r="G60" i="15"/>
  <c r="F60" i="15"/>
  <c r="E60" i="15"/>
  <c r="D60" i="15"/>
  <c r="G59" i="15"/>
  <c r="F59" i="15"/>
  <c r="E59" i="15"/>
  <c r="D59" i="15"/>
  <c r="G58" i="15"/>
  <c r="F58" i="15"/>
  <c r="E58" i="15"/>
  <c r="D58" i="15"/>
  <c r="G57" i="15"/>
  <c r="F57" i="15"/>
  <c r="E57" i="15"/>
  <c r="D57" i="15"/>
  <c r="G56" i="15"/>
  <c r="F56" i="15"/>
  <c r="E56" i="15"/>
  <c r="D56" i="15"/>
  <c r="C38" i="15"/>
  <c r="E38" i="15" s="1"/>
  <c r="H38" i="15" s="1"/>
  <c r="D35" i="15"/>
  <c r="G35" i="15" s="1"/>
  <c r="D34" i="15"/>
  <c r="H34" i="15" s="1"/>
  <c r="D33" i="15"/>
  <c r="E33" i="15" s="1"/>
  <c r="D32" i="15"/>
  <c r="H32" i="15" s="1"/>
  <c r="D31" i="15"/>
  <c r="H31" i="15" s="1"/>
  <c r="D29" i="15"/>
  <c r="H29" i="15" s="1"/>
  <c r="D28" i="15"/>
  <c r="H28" i="15" s="1"/>
  <c r="D27" i="15"/>
  <c r="H27" i="15" s="1"/>
  <c r="D26" i="15"/>
  <c r="E26" i="15" s="1"/>
  <c r="D25" i="15"/>
  <c r="H25" i="15" s="1"/>
  <c r="D24" i="15"/>
  <c r="H24" i="15" s="1"/>
  <c r="D22" i="15"/>
  <c r="F22" i="15" s="1"/>
  <c r="D21" i="15"/>
  <c r="H21" i="15" s="1"/>
  <c r="D20" i="15"/>
  <c r="G20" i="15" s="1"/>
  <c r="D19" i="15"/>
  <c r="G19" i="15" s="1"/>
  <c r="D18" i="15"/>
  <c r="H18" i="15" s="1"/>
  <c r="D16" i="15"/>
  <c r="E16" i="15" s="1"/>
  <c r="D15" i="15"/>
  <c r="H15" i="15" s="1"/>
  <c r="D13" i="15"/>
  <c r="H13" i="15" s="1"/>
  <c r="C12" i="15"/>
  <c r="D10" i="15"/>
  <c r="P59" i="14"/>
  <c r="P60" i="14"/>
  <c r="P61" i="14"/>
  <c r="P62" i="14"/>
  <c r="P63" i="14"/>
  <c r="P64" i="14"/>
  <c r="P65" i="14"/>
  <c r="P66" i="14"/>
  <c r="P67" i="14"/>
  <c r="P58" i="14"/>
  <c r="O59" i="14"/>
  <c r="O60" i="14"/>
  <c r="O61" i="14"/>
  <c r="O62" i="14"/>
  <c r="O63" i="14"/>
  <c r="O64" i="14"/>
  <c r="O65" i="14"/>
  <c r="O66" i="14"/>
  <c r="O67" i="14"/>
  <c r="O58" i="14"/>
  <c r="D12" i="15" l="1"/>
  <c r="D8" i="15"/>
  <c r="H35" i="15"/>
  <c r="G33" i="15"/>
  <c r="F33" i="15"/>
  <c r="E29" i="15"/>
  <c r="F29" i="15"/>
  <c r="G29" i="15"/>
  <c r="F26" i="15"/>
  <c r="G26" i="15"/>
  <c r="H26" i="15"/>
  <c r="H22" i="15"/>
  <c r="G22" i="15"/>
  <c r="E20" i="15"/>
  <c r="F20" i="15"/>
  <c r="H20" i="15"/>
  <c r="H19" i="15"/>
  <c r="F16" i="15"/>
  <c r="G16" i="15"/>
  <c r="E24" i="15"/>
  <c r="G38" i="15"/>
  <c r="H16" i="15"/>
  <c r="F24" i="15"/>
  <c r="E27" i="15"/>
  <c r="H33" i="15"/>
  <c r="E13" i="15"/>
  <c r="G24" i="15"/>
  <c r="F27" i="15"/>
  <c r="E31" i="15"/>
  <c r="F13" i="15"/>
  <c r="E18" i="15"/>
  <c r="G27" i="15"/>
  <c r="F31" i="15"/>
  <c r="E34" i="15"/>
  <c r="G13" i="15"/>
  <c r="F18" i="15"/>
  <c r="E21" i="15"/>
  <c r="G31" i="15"/>
  <c r="F34" i="15"/>
  <c r="E10" i="15"/>
  <c r="G18" i="15"/>
  <c r="F21" i="15"/>
  <c r="E25" i="15"/>
  <c r="G34" i="15"/>
  <c r="F10" i="15"/>
  <c r="G21" i="15"/>
  <c r="F25" i="15"/>
  <c r="E28" i="15"/>
  <c r="G10" i="15"/>
  <c r="E15" i="15"/>
  <c r="G25" i="15"/>
  <c r="F28" i="15"/>
  <c r="E32" i="15"/>
  <c r="H10" i="15"/>
  <c r="F15" i="15"/>
  <c r="E19" i="15"/>
  <c r="G28" i="15"/>
  <c r="F32" i="15"/>
  <c r="E35" i="15"/>
  <c r="G15" i="15"/>
  <c r="F19" i="15"/>
  <c r="E22" i="15"/>
  <c r="G32" i="15"/>
  <c r="F35" i="15"/>
  <c r="L91" i="14"/>
  <c r="K91" i="14"/>
  <c r="J91" i="14"/>
  <c r="I91" i="14"/>
  <c r="E91" i="14"/>
  <c r="D91" i="14"/>
  <c r="L89" i="14"/>
  <c r="K89" i="14"/>
  <c r="J89" i="14"/>
  <c r="I89" i="14"/>
  <c r="E89" i="14"/>
  <c r="D89" i="14"/>
  <c r="K87" i="14"/>
  <c r="J87" i="14"/>
  <c r="L87" i="14" s="1"/>
  <c r="I87" i="14"/>
  <c r="E87" i="14"/>
  <c r="D87" i="14"/>
  <c r="K85" i="14"/>
  <c r="J85" i="14"/>
  <c r="L85" i="14" s="1"/>
  <c r="I85" i="14"/>
  <c r="E85" i="14"/>
  <c r="D85" i="14"/>
  <c r="K83" i="14"/>
  <c r="J83" i="14"/>
  <c r="L83" i="14" s="1"/>
  <c r="I83" i="14"/>
  <c r="E83" i="14"/>
  <c r="D83" i="14"/>
  <c r="J81" i="14"/>
  <c r="L81" i="14" s="1"/>
  <c r="I81" i="14"/>
  <c r="K81" i="14" s="1"/>
  <c r="E81" i="14"/>
  <c r="D81" i="14"/>
  <c r="J79" i="14"/>
  <c r="L79" i="14" s="1"/>
  <c r="I79" i="14"/>
  <c r="K79" i="14" s="1"/>
  <c r="E79" i="14"/>
  <c r="D79" i="14"/>
  <c r="J67" i="14"/>
  <c r="N67" i="14" s="1"/>
  <c r="M67" i="14" s="1"/>
  <c r="G67" i="14"/>
  <c r="F67" i="14"/>
  <c r="E67" i="14"/>
  <c r="D67" i="14"/>
  <c r="J66" i="14"/>
  <c r="N66" i="14" s="1"/>
  <c r="M66" i="14" s="1"/>
  <c r="G66" i="14"/>
  <c r="F66" i="14"/>
  <c r="E66" i="14"/>
  <c r="D66" i="14"/>
  <c r="N65" i="14"/>
  <c r="M65" i="14" s="1"/>
  <c r="J65" i="14"/>
  <c r="G65" i="14"/>
  <c r="F65" i="14"/>
  <c r="E65" i="14"/>
  <c r="D65" i="14"/>
  <c r="J64" i="14"/>
  <c r="N64" i="14" s="1"/>
  <c r="M64" i="14" s="1"/>
  <c r="G64" i="14"/>
  <c r="F64" i="14"/>
  <c r="E64" i="14"/>
  <c r="D64" i="14"/>
  <c r="N63" i="14"/>
  <c r="M63" i="14" s="1"/>
  <c r="J63" i="14"/>
  <c r="G63" i="14"/>
  <c r="F63" i="14"/>
  <c r="E63" i="14"/>
  <c r="D63" i="14"/>
  <c r="J62" i="14"/>
  <c r="N62" i="14" s="1"/>
  <c r="M62" i="14" s="1"/>
  <c r="G62" i="14"/>
  <c r="F62" i="14"/>
  <c r="E62" i="14"/>
  <c r="D62" i="14"/>
  <c r="N61" i="14"/>
  <c r="M61" i="14" s="1"/>
  <c r="J61" i="14"/>
  <c r="G61" i="14"/>
  <c r="F61" i="14"/>
  <c r="E61" i="14"/>
  <c r="D61" i="14"/>
  <c r="J60" i="14"/>
  <c r="N60" i="14" s="1"/>
  <c r="M60" i="14" s="1"/>
  <c r="G60" i="14"/>
  <c r="F60" i="14"/>
  <c r="E60" i="14"/>
  <c r="D60" i="14"/>
  <c r="N59" i="14"/>
  <c r="M59" i="14" s="1"/>
  <c r="J59" i="14"/>
  <c r="G59" i="14"/>
  <c r="F59" i="14"/>
  <c r="E59" i="14"/>
  <c r="D59" i="14"/>
  <c r="J58" i="14"/>
  <c r="N58" i="14" s="1"/>
  <c r="M58" i="14" s="1"/>
  <c r="G58" i="14"/>
  <c r="F58" i="14"/>
  <c r="E58" i="14"/>
  <c r="D58" i="14"/>
  <c r="L40" i="14"/>
  <c r="K40" i="14"/>
  <c r="N40" i="14" s="1"/>
  <c r="J40" i="14"/>
  <c r="H40" i="14"/>
  <c r="E40" i="14"/>
  <c r="G40" i="14" s="1"/>
  <c r="O40" i="14" s="1"/>
  <c r="C40" i="14"/>
  <c r="M40" i="14" s="1"/>
  <c r="L39" i="14"/>
  <c r="K39" i="14"/>
  <c r="M37" i="14"/>
  <c r="L37" i="14"/>
  <c r="K37" i="14"/>
  <c r="N37" i="14" s="1"/>
  <c r="J37" i="14"/>
  <c r="H37" i="14"/>
  <c r="G37" i="14"/>
  <c r="O37" i="14" s="1"/>
  <c r="F37" i="14"/>
  <c r="D37" i="14"/>
  <c r="E37" i="14" s="1"/>
  <c r="M36" i="14"/>
  <c r="L36" i="14"/>
  <c r="K36" i="14"/>
  <c r="J36" i="14"/>
  <c r="N36" i="14" s="1"/>
  <c r="D36" i="14"/>
  <c r="H36" i="14" s="1"/>
  <c r="L35" i="14"/>
  <c r="K35" i="14"/>
  <c r="N35" i="14" s="1"/>
  <c r="J35" i="14"/>
  <c r="F35" i="14"/>
  <c r="D35" i="14"/>
  <c r="E35" i="14" s="1"/>
  <c r="N34" i="14"/>
  <c r="M34" i="14"/>
  <c r="L34" i="14"/>
  <c r="K34" i="14"/>
  <c r="J34" i="14"/>
  <c r="H34" i="14"/>
  <c r="G34" i="14"/>
  <c r="O34" i="14" s="1"/>
  <c r="F34" i="14"/>
  <c r="D34" i="14"/>
  <c r="E34" i="14" s="1"/>
  <c r="L33" i="14"/>
  <c r="K33" i="14"/>
  <c r="N33" i="14" s="1"/>
  <c r="J33" i="14"/>
  <c r="D33" i="14"/>
  <c r="H33" i="14" s="1"/>
  <c r="L32" i="14"/>
  <c r="K32" i="14"/>
  <c r="N31" i="14"/>
  <c r="L31" i="14"/>
  <c r="K31" i="14"/>
  <c r="M31" i="14" s="1"/>
  <c r="J31" i="14"/>
  <c r="H31" i="14"/>
  <c r="G31" i="14"/>
  <c r="O31" i="14" s="1"/>
  <c r="D31" i="14"/>
  <c r="F31" i="14" s="1"/>
  <c r="N30" i="14"/>
  <c r="M30" i="14"/>
  <c r="L30" i="14"/>
  <c r="K30" i="14"/>
  <c r="J30" i="14"/>
  <c r="D30" i="14"/>
  <c r="H30" i="14" s="1"/>
  <c r="L29" i="14"/>
  <c r="K29" i="14"/>
  <c r="N29" i="14" s="1"/>
  <c r="J29" i="14"/>
  <c r="G29" i="14"/>
  <c r="O29" i="14" s="1"/>
  <c r="D29" i="14"/>
  <c r="F29" i="14" s="1"/>
  <c r="N28" i="14"/>
  <c r="M28" i="14"/>
  <c r="L28" i="14"/>
  <c r="K28" i="14"/>
  <c r="J28" i="14"/>
  <c r="G28" i="14"/>
  <c r="O28" i="14" s="1"/>
  <c r="F28" i="14"/>
  <c r="D28" i="14"/>
  <c r="H28" i="14" s="1"/>
  <c r="L27" i="14"/>
  <c r="K27" i="14"/>
  <c r="M27" i="14" s="1"/>
  <c r="J27" i="14"/>
  <c r="D27" i="14"/>
  <c r="E27" i="14" s="1"/>
  <c r="O26" i="14"/>
  <c r="M26" i="14"/>
  <c r="L26" i="14"/>
  <c r="K26" i="14"/>
  <c r="J26" i="14"/>
  <c r="N26" i="14" s="1"/>
  <c r="H26" i="14"/>
  <c r="G26" i="14"/>
  <c r="F26" i="14"/>
  <c r="D26" i="14"/>
  <c r="E26" i="14" s="1"/>
  <c r="L25" i="14"/>
  <c r="K25" i="14"/>
  <c r="O24" i="14"/>
  <c r="N24" i="14"/>
  <c r="M24" i="14"/>
  <c r="L24" i="14"/>
  <c r="K24" i="14"/>
  <c r="J24" i="14"/>
  <c r="H24" i="14"/>
  <c r="G24" i="14"/>
  <c r="F24" i="14"/>
  <c r="E24" i="14"/>
  <c r="D24" i="14"/>
  <c r="L23" i="14"/>
  <c r="K23" i="14"/>
  <c r="N23" i="14" s="1"/>
  <c r="J23" i="14"/>
  <c r="H23" i="14"/>
  <c r="D23" i="14"/>
  <c r="G23" i="14" s="1"/>
  <c r="O23" i="14" s="1"/>
  <c r="L22" i="14"/>
  <c r="K22" i="14"/>
  <c r="M22" i="14" s="1"/>
  <c r="J22" i="14"/>
  <c r="N22" i="14" s="1"/>
  <c r="H22" i="14"/>
  <c r="G22" i="14"/>
  <c r="O22" i="14" s="1"/>
  <c r="F22" i="14"/>
  <c r="E22" i="14"/>
  <c r="D22" i="14"/>
  <c r="L21" i="14"/>
  <c r="K21" i="14"/>
  <c r="N21" i="14" s="1"/>
  <c r="J21" i="14"/>
  <c r="E21" i="14"/>
  <c r="D21" i="14"/>
  <c r="H21" i="14" s="1"/>
  <c r="N20" i="14"/>
  <c r="L20" i="14"/>
  <c r="K20" i="14"/>
  <c r="M20" i="14" s="1"/>
  <c r="J20" i="14"/>
  <c r="H20" i="14"/>
  <c r="G20" i="14"/>
  <c r="O20" i="14" s="1"/>
  <c r="D20" i="14"/>
  <c r="F20" i="14" s="1"/>
  <c r="L19" i="14"/>
  <c r="K19" i="14"/>
  <c r="O18" i="14"/>
  <c r="M18" i="14"/>
  <c r="L18" i="14"/>
  <c r="K18" i="14"/>
  <c r="J18" i="14"/>
  <c r="N18" i="14" s="1"/>
  <c r="H18" i="14"/>
  <c r="G18" i="14"/>
  <c r="F18" i="14"/>
  <c r="D18" i="14"/>
  <c r="E18" i="14" s="1"/>
  <c r="N17" i="14"/>
  <c r="M17" i="14"/>
  <c r="L17" i="14"/>
  <c r="K17" i="14"/>
  <c r="J17" i="14"/>
  <c r="D17" i="14"/>
  <c r="H17" i="14" s="1"/>
  <c r="L16" i="14"/>
  <c r="K16" i="14"/>
  <c r="L15" i="14"/>
  <c r="K15" i="14"/>
  <c r="M15" i="14" s="1"/>
  <c r="J15" i="14"/>
  <c r="H15" i="14"/>
  <c r="D15" i="14"/>
  <c r="G15" i="14" s="1"/>
  <c r="O15" i="14" s="1"/>
  <c r="M14" i="14"/>
  <c r="L14" i="14"/>
  <c r="K14" i="14"/>
  <c r="J14" i="14"/>
  <c r="N14" i="14" s="1"/>
  <c r="C14" i="14"/>
  <c r="L13" i="14"/>
  <c r="K13" i="14"/>
  <c r="M12" i="14"/>
  <c r="L12" i="14"/>
  <c r="K12" i="14"/>
  <c r="J12" i="14"/>
  <c r="N12" i="14" s="1"/>
  <c r="H12" i="14"/>
  <c r="H14" i="14" s="1"/>
  <c r="G12" i="14"/>
  <c r="O12" i="14" s="1"/>
  <c r="F12" i="14"/>
  <c r="F14" i="14" s="1"/>
  <c r="E12" i="14"/>
  <c r="E14" i="14" s="1"/>
  <c r="D12" i="14"/>
  <c r="D14" i="14" s="1"/>
  <c r="L11" i="14"/>
  <c r="K11" i="14"/>
  <c r="N11" i="14" s="1"/>
  <c r="J11" i="14"/>
  <c r="E11" i="14"/>
  <c r="E9" i="14" s="1"/>
  <c r="D11" i="14"/>
  <c r="F11" i="14" s="1"/>
  <c r="F9" i="14" s="1"/>
  <c r="L10" i="14"/>
  <c r="K10" i="14"/>
  <c r="L9" i="14"/>
  <c r="K9" i="14"/>
  <c r="N9" i="14" s="1"/>
  <c r="J9" i="14"/>
  <c r="D9" i="14"/>
  <c r="C9" i="14"/>
  <c r="M9" i="14" s="1"/>
  <c r="C40" i="12"/>
  <c r="G67" i="12"/>
  <c r="G66" i="12"/>
  <c r="G65" i="12"/>
  <c r="G64" i="12"/>
  <c r="G63" i="12"/>
  <c r="G62" i="12"/>
  <c r="G61" i="12"/>
  <c r="G60" i="12"/>
  <c r="G59" i="12"/>
  <c r="G58" i="12"/>
  <c r="D37" i="12"/>
  <c r="D36" i="12"/>
  <c r="D34" i="12"/>
  <c r="D35" i="12"/>
  <c r="D33" i="12"/>
  <c r="D31" i="12"/>
  <c r="D30" i="12"/>
  <c r="D29" i="12"/>
  <c r="D28" i="12"/>
  <c r="D27" i="12"/>
  <c r="D26" i="12"/>
  <c r="D24" i="12"/>
  <c r="D23" i="12"/>
  <c r="D22" i="12"/>
  <c r="D21" i="12"/>
  <c r="D20" i="12"/>
  <c r="D18" i="12"/>
  <c r="D17" i="12"/>
  <c r="D15" i="12"/>
  <c r="D12" i="12"/>
  <c r="D11" i="12"/>
  <c r="C14" i="12"/>
  <c r="C9" i="12"/>
  <c r="E12" i="15" l="1"/>
  <c r="E8" i="15"/>
  <c r="G12" i="15"/>
  <c r="G8" i="15"/>
  <c r="H12" i="15"/>
  <c r="H8" i="15"/>
  <c r="F12" i="15"/>
  <c r="F8" i="15"/>
  <c r="E28" i="14"/>
  <c r="H29" i="14"/>
  <c r="G35" i="14"/>
  <c r="O35" i="14" s="1"/>
  <c r="G14" i="14"/>
  <c r="O14" i="14" s="1"/>
  <c r="H35" i="14"/>
  <c r="F21" i="14"/>
  <c r="M23" i="14"/>
  <c r="F27" i="14"/>
  <c r="M29" i="14"/>
  <c r="E33" i="14"/>
  <c r="G11" i="14"/>
  <c r="N15" i="14"/>
  <c r="G21" i="14"/>
  <c r="O21" i="14" s="1"/>
  <c r="H11" i="14"/>
  <c r="H9" i="14" s="1"/>
  <c r="E20" i="14"/>
  <c r="G27" i="14"/>
  <c r="O27" i="14" s="1"/>
  <c r="E31" i="14"/>
  <c r="F33" i="14"/>
  <c r="M35" i="14"/>
  <c r="H27" i="14"/>
  <c r="G33" i="14"/>
  <c r="O33" i="14" s="1"/>
  <c r="E30" i="14"/>
  <c r="M11" i="14"/>
  <c r="E17" i="14"/>
  <c r="M21" i="14"/>
  <c r="F30" i="14"/>
  <c r="E36" i="14"/>
  <c r="E23" i="14"/>
  <c r="G30" i="14"/>
  <c r="O30" i="14" s="1"/>
  <c r="F36" i="14"/>
  <c r="F15" i="14"/>
  <c r="G17" i="14"/>
  <c r="O17" i="14" s="1"/>
  <c r="F23" i="14"/>
  <c r="N27" i="14"/>
  <c r="E29" i="14"/>
  <c r="M33" i="14"/>
  <c r="G36" i="14"/>
  <c r="O36" i="14" s="1"/>
  <c r="E15" i="14"/>
  <c r="F17" i="14"/>
  <c r="D14" i="12"/>
  <c r="D9" i="12"/>
  <c r="O11" i="14" l="1"/>
  <c r="G9" i="14"/>
  <c r="O9" i="14" s="1"/>
  <c r="E91" i="12"/>
  <c r="D91" i="12"/>
  <c r="E89" i="12"/>
  <c r="D89" i="12"/>
  <c r="E87" i="12"/>
  <c r="D87" i="12"/>
  <c r="E85" i="12"/>
  <c r="D85" i="12"/>
  <c r="E83" i="12"/>
  <c r="D83" i="12"/>
  <c r="E81" i="12"/>
  <c r="D81" i="12"/>
  <c r="E79" i="12"/>
  <c r="D79" i="12"/>
  <c r="F67" i="12"/>
  <c r="E67" i="12"/>
  <c r="D67" i="12"/>
  <c r="F66" i="12"/>
  <c r="E66" i="12"/>
  <c r="D66" i="12"/>
  <c r="F65" i="12"/>
  <c r="E65" i="12"/>
  <c r="D65" i="12"/>
  <c r="F64" i="12"/>
  <c r="E64" i="12"/>
  <c r="D64" i="12"/>
  <c r="F63" i="12"/>
  <c r="E63" i="12"/>
  <c r="D63" i="12"/>
  <c r="F62" i="12"/>
  <c r="E62" i="12"/>
  <c r="D62" i="12"/>
  <c r="F61" i="12"/>
  <c r="E61" i="12"/>
  <c r="D61" i="12"/>
  <c r="F60" i="12"/>
  <c r="E60" i="12"/>
  <c r="D60" i="12"/>
  <c r="F59" i="12"/>
  <c r="E59" i="12"/>
  <c r="D59" i="12"/>
  <c r="F58" i="12"/>
  <c r="E58" i="12"/>
  <c r="D58" i="12"/>
  <c r="E40" i="12"/>
  <c r="G40" i="12" s="1"/>
  <c r="E37" i="12"/>
  <c r="E36" i="12"/>
  <c r="H36" i="12"/>
  <c r="G35" i="12"/>
  <c r="H35" i="12"/>
  <c r="H34" i="12"/>
  <c r="H33" i="12"/>
  <c r="E33" i="12"/>
  <c r="F33" i="12"/>
  <c r="G31" i="12"/>
  <c r="E31" i="12"/>
  <c r="F31" i="12"/>
  <c r="E30" i="12"/>
  <c r="G29" i="12"/>
  <c r="G28" i="12"/>
  <c r="E28" i="12"/>
  <c r="H28" i="12"/>
  <c r="F27" i="12"/>
  <c r="E27" i="12"/>
  <c r="H26" i="12"/>
  <c r="E24" i="12"/>
  <c r="H24" i="12"/>
  <c r="H23" i="12"/>
  <c r="H22" i="12"/>
  <c r="H21" i="12"/>
  <c r="G21" i="12"/>
  <c r="E21" i="12"/>
  <c r="F21" i="12"/>
  <c r="H20" i="12"/>
  <c r="G20" i="12"/>
  <c r="F20" i="12"/>
  <c r="E20" i="12"/>
  <c r="H18" i="12"/>
  <c r="G18" i="12"/>
  <c r="E18" i="12"/>
  <c r="G17" i="12"/>
  <c r="G15" i="12"/>
  <c r="H15" i="12"/>
  <c r="H12" i="12"/>
  <c r="H14" i="12" s="1"/>
  <c r="G12" i="12"/>
  <c r="G14" i="12" s="1"/>
  <c r="F11" i="12"/>
  <c r="F9" i="12" s="1"/>
  <c r="E11" i="12"/>
  <c r="E9" i="12" s="1"/>
  <c r="H11" i="12"/>
  <c r="H9" i="12" s="1"/>
  <c r="E87" i="10"/>
  <c r="E85" i="10"/>
  <c r="E81" i="10"/>
  <c r="E79" i="10"/>
  <c r="D87" i="10"/>
  <c r="D81" i="10"/>
  <c r="E83" i="10"/>
  <c r="D79" i="10"/>
  <c r="D85" i="10"/>
  <c r="E89" i="10"/>
  <c r="D89" i="10"/>
  <c r="D91" i="10"/>
  <c r="E67" i="10"/>
  <c r="E66" i="10"/>
  <c r="G65" i="10"/>
  <c r="E63" i="10"/>
  <c r="D62" i="10"/>
  <c r="F61" i="10"/>
  <c r="E60" i="10"/>
  <c r="E59" i="10"/>
  <c r="G40" i="10"/>
  <c r="D33" i="10"/>
  <c r="F33" i="10"/>
  <c r="D31" i="10"/>
  <c r="E31" i="10"/>
  <c r="D30" i="10"/>
  <c r="H30" i="10"/>
  <c r="D20" i="10"/>
  <c r="H20" i="10"/>
  <c r="D11" i="10"/>
  <c r="E11" i="10"/>
  <c r="E9" i="10"/>
  <c r="E91" i="10"/>
  <c r="D83" i="10"/>
  <c r="F67" i="10"/>
  <c r="G66" i="10"/>
  <c r="F66" i="10"/>
  <c r="D66" i="10"/>
  <c r="G64" i="10"/>
  <c r="F64" i="10"/>
  <c r="E64" i="10"/>
  <c r="D64" i="10"/>
  <c r="G63" i="10"/>
  <c r="F63" i="10"/>
  <c r="D63" i="10"/>
  <c r="G62" i="10"/>
  <c r="F62" i="10"/>
  <c r="E62" i="10"/>
  <c r="G61" i="10"/>
  <c r="G60" i="10"/>
  <c r="F60" i="10"/>
  <c r="G59" i="10"/>
  <c r="F59" i="10"/>
  <c r="D59" i="10"/>
  <c r="G58" i="10"/>
  <c r="F58" i="10"/>
  <c r="E58" i="10"/>
  <c r="D58" i="10"/>
  <c r="D37" i="10"/>
  <c r="E37" i="10"/>
  <c r="D36" i="10"/>
  <c r="H36" i="10"/>
  <c r="D35" i="10"/>
  <c r="F35" i="10"/>
  <c r="H35" i="10"/>
  <c r="D34" i="10"/>
  <c r="H34" i="10"/>
  <c r="D29" i="10"/>
  <c r="E29" i="10"/>
  <c r="H29" i="10"/>
  <c r="D28" i="10"/>
  <c r="H28" i="10"/>
  <c r="H27" i="10"/>
  <c r="D27" i="10"/>
  <c r="F27" i="10"/>
  <c r="D26" i="10"/>
  <c r="H26" i="10"/>
  <c r="G26" i="10"/>
  <c r="H24" i="10"/>
  <c r="D24" i="10"/>
  <c r="G24" i="10"/>
  <c r="D23" i="10"/>
  <c r="E23" i="10"/>
  <c r="D22" i="10"/>
  <c r="H22" i="10"/>
  <c r="D21" i="10"/>
  <c r="H21" i="10"/>
  <c r="D18" i="10"/>
  <c r="F18" i="10"/>
  <c r="D17" i="10"/>
  <c r="G17" i="10"/>
  <c r="F17" i="10"/>
  <c r="D15" i="10"/>
  <c r="G15" i="10"/>
  <c r="D12" i="10"/>
  <c r="D14" i="10"/>
  <c r="E91" i="9"/>
  <c r="D91" i="9"/>
  <c r="E89" i="9"/>
  <c r="D89" i="9"/>
  <c r="D87" i="9"/>
  <c r="E87" i="9"/>
  <c r="E85" i="9"/>
  <c r="D85" i="9"/>
  <c r="D83" i="9"/>
  <c r="E83" i="9"/>
  <c r="E81" i="9"/>
  <c r="D81" i="9"/>
  <c r="D79" i="9"/>
  <c r="E79" i="9"/>
  <c r="G67" i="9"/>
  <c r="F67" i="9"/>
  <c r="D67" i="9"/>
  <c r="E67" i="9"/>
  <c r="G66" i="9"/>
  <c r="F65" i="9"/>
  <c r="D65" i="9"/>
  <c r="E65" i="9"/>
  <c r="E64" i="9"/>
  <c r="G64" i="9"/>
  <c r="G63" i="9"/>
  <c r="G62" i="9"/>
  <c r="E62" i="9"/>
  <c r="D62" i="9"/>
  <c r="G61" i="9"/>
  <c r="E61" i="9"/>
  <c r="D61" i="9"/>
  <c r="F61" i="9"/>
  <c r="G60" i="9"/>
  <c r="E60" i="9"/>
  <c r="D60" i="9"/>
  <c r="F60" i="9"/>
  <c r="G59" i="9"/>
  <c r="F59" i="9"/>
  <c r="D59" i="9"/>
  <c r="E59" i="9"/>
  <c r="G58" i="9"/>
  <c r="G40" i="9"/>
  <c r="E40" i="9"/>
  <c r="H40" i="9"/>
  <c r="F37" i="9"/>
  <c r="D37" i="9"/>
  <c r="H37" i="9"/>
  <c r="D36" i="9"/>
  <c r="H36" i="9"/>
  <c r="D35" i="9"/>
  <c r="E35" i="9"/>
  <c r="D34" i="9"/>
  <c r="F34" i="9"/>
  <c r="D33" i="9"/>
  <c r="G33" i="9"/>
  <c r="G31" i="9"/>
  <c r="D31" i="9"/>
  <c r="H31" i="9"/>
  <c r="D30" i="9"/>
  <c r="E30" i="9"/>
  <c r="G29" i="9"/>
  <c r="F29" i="9"/>
  <c r="E29" i="9"/>
  <c r="D29" i="9"/>
  <c r="H29" i="9"/>
  <c r="D28" i="9"/>
  <c r="G28" i="9"/>
  <c r="D27" i="9"/>
  <c r="H27" i="9"/>
  <c r="D26" i="9"/>
  <c r="E26" i="9"/>
  <c r="D24" i="9"/>
  <c r="H24" i="9"/>
  <c r="D23" i="9"/>
  <c r="G23" i="9"/>
  <c r="D22" i="9"/>
  <c r="E22" i="9"/>
  <c r="D21" i="9"/>
  <c r="G21" i="9"/>
  <c r="D20" i="9"/>
  <c r="G20" i="9"/>
  <c r="D18" i="9"/>
  <c r="G18" i="9"/>
  <c r="F18" i="9"/>
  <c r="D17" i="9"/>
  <c r="H17" i="9"/>
  <c r="D15" i="9"/>
  <c r="E15" i="9"/>
  <c r="C14" i="9"/>
  <c r="D12" i="9"/>
  <c r="H12" i="9"/>
  <c r="H14" i="9"/>
  <c r="C11" i="9"/>
  <c r="D11" i="9"/>
  <c r="C91" i="8"/>
  <c r="E91" i="8"/>
  <c r="B91" i="8"/>
  <c r="D91" i="8"/>
  <c r="E89" i="8"/>
  <c r="D89" i="8"/>
  <c r="C89" i="8"/>
  <c r="B89" i="8"/>
  <c r="C87" i="8"/>
  <c r="E87" i="8"/>
  <c r="B87" i="8"/>
  <c r="D87" i="8"/>
  <c r="E85" i="8"/>
  <c r="D85" i="8"/>
  <c r="C85" i="8"/>
  <c r="B85" i="8"/>
  <c r="C83" i="8"/>
  <c r="E83" i="8"/>
  <c r="B83" i="8"/>
  <c r="D83" i="8"/>
  <c r="E81" i="8"/>
  <c r="D81" i="8"/>
  <c r="C81" i="8"/>
  <c r="B81" i="8"/>
  <c r="D79" i="8"/>
  <c r="C79" i="8"/>
  <c r="E79" i="8"/>
  <c r="B79" i="8"/>
  <c r="G67" i="8"/>
  <c r="F67" i="8"/>
  <c r="D67" i="8"/>
  <c r="C67" i="8"/>
  <c r="E67" i="8"/>
  <c r="C66" i="8"/>
  <c r="G66" i="8"/>
  <c r="F65" i="8"/>
  <c r="C65" i="8"/>
  <c r="E65" i="8"/>
  <c r="F64" i="8"/>
  <c r="E64" i="8"/>
  <c r="C64" i="8"/>
  <c r="G64" i="8"/>
  <c r="C63" i="8"/>
  <c r="G63" i="8"/>
  <c r="G62" i="8"/>
  <c r="E62" i="8"/>
  <c r="C62" i="8"/>
  <c r="D62" i="8"/>
  <c r="G61" i="8"/>
  <c r="E61" i="8"/>
  <c r="D61" i="8"/>
  <c r="C61" i="8"/>
  <c r="F61" i="8"/>
  <c r="G60" i="8"/>
  <c r="E60" i="8"/>
  <c r="D60" i="8"/>
  <c r="C60" i="8"/>
  <c r="F60" i="8"/>
  <c r="G59" i="8"/>
  <c r="F59" i="8"/>
  <c r="D59" i="8"/>
  <c r="C59" i="8"/>
  <c r="E59" i="8"/>
  <c r="C58" i="8"/>
  <c r="G58" i="8"/>
  <c r="G40" i="8"/>
  <c r="D40" i="8"/>
  <c r="C40" i="8"/>
  <c r="E40" i="8"/>
  <c r="H40" i="8"/>
  <c r="G37" i="8"/>
  <c r="F37" i="8"/>
  <c r="D37" i="8"/>
  <c r="H37" i="8"/>
  <c r="D36" i="8"/>
  <c r="H36" i="8"/>
  <c r="H35" i="8"/>
  <c r="F35" i="8"/>
  <c r="D35" i="8"/>
  <c r="E35" i="8"/>
  <c r="H34" i="8"/>
  <c r="F34" i="8"/>
  <c r="E34" i="8"/>
  <c r="D34" i="8"/>
  <c r="G34" i="8"/>
  <c r="H33" i="8"/>
  <c r="F33" i="8"/>
  <c r="E33" i="8"/>
  <c r="D33" i="8"/>
  <c r="G33" i="8"/>
  <c r="H31" i="8"/>
  <c r="G31" i="8"/>
  <c r="F31" i="8"/>
  <c r="E31" i="8"/>
  <c r="D31" i="8"/>
  <c r="D30" i="8"/>
  <c r="H30" i="8"/>
  <c r="G29" i="8"/>
  <c r="D29" i="8"/>
  <c r="F29" i="8"/>
  <c r="G28" i="8"/>
  <c r="F28" i="8"/>
  <c r="D28" i="8"/>
  <c r="H28" i="8"/>
  <c r="D27" i="8"/>
  <c r="H27" i="8"/>
  <c r="H26" i="8"/>
  <c r="F26" i="8"/>
  <c r="D26" i="8"/>
  <c r="E26" i="8"/>
  <c r="H24" i="8"/>
  <c r="F24" i="8"/>
  <c r="E24" i="8"/>
  <c r="D24" i="8"/>
  <c r="G24" i="8"/>
  <c r="H23" i="8"/>
  <c r="F23" i="8"/>
  <c r="E23" i="8"/>
  <c r="D23" i="8"/>
  <c r="G23" i="8"/>
  <c r="H22" i="8"/>
  <c r="G22" i="8"/>
  <c r="F22" i="8"/>
  <c r="E22" i="8"/>
  <c r="D22" i="8"/>
  <c r="D21" i="8"/>
  <c r="H21" i="8"/>
  <c r="G20" i="8"/>
  <c r="D20" i="8"/>
  <c r="F20" i="8"/>
  <c r="G18" i="8"/>
  <c r="F18" i="8"/>
  <c r="D18" i="8"/>
  <c r="H18" i="8"/>
  <c r="D17" i="8"/>
  <c r="H17" i="8"/>
  <c r="H15" i="8"/>
  <c r="F15" i="8"/>
  <c r="D15" i="8"/>
  <c r="E15" i="8"/>
  <c r="C14" i="8"/>
  <c r="D12" i="8"/>
  <c r="H12" i="8"/>
  <c r="H14" i="8"/>
  <c r="C11" i="8"/>
  <c r="D11" i="8"/>
  <c r="C11" i="7"/>
  <c r="C14" i="7"/>
  <c r="C91" i="7"/>
  <c r="B91" i="7"/>
  <c r="D91" i="7"/>
  <c r="C89" i="7"/>
  <c r="E89" i="7"/>
  <c r="B89" i="7"/>
  <c r="D89" i="7"/>
  <c r="C87" i="7"/>
  <c r="B87" i="7"/>
  <c r="D87" i="7"/>
  <c r="C85" i="7"/>
  <c r="B85" i="7"/>
  <c r="C83" i="7"/>
  <c r="E83" i="7"/>
  <c r="B83" i="7"/>
  <c r="D83" i="7"/>
  <c r="C81" i="7"/>
  <c r="B81" i="7"/>
  <c r="D81" i="7"/>
  <c r="C79" i="7"/>
  <c r="E79" i="7"/>
  <c r="B79" i="7"/>
  <c r="D79" i="7"/>
  <c r="E91" i="7"/>
  <c r="E87" i="7"/>
  <c r="E85" i="7"/>
  <c r="D85" i="7"/>
  <c r="E81" i="7"/>
  <c r="C67" i="7"/>
  <c r="E67" i="7"/>
  <c r="F67" i="7"/>
  <c r="C66" i="7"/>
  <c r="C65" i="7"/>
  <c r="F65" i="7"/>
  <c r="C64" i="7"/>
  <c r="D64" i="7"/>
  <c r="C63" i="7"/>
  <c r="D63" i="7"/>
  <c r="C62" i="7"/>
  <c r="D62" i="7"/>
  <c r="G62" i="7"/>
  <c r="C61" i="7"/>
  <c r="D61" i="7"/>
  <c r="C60" i="7"/>
  <c r="E60" i="7"/>
  <c r="C59" i="7"/>
  <c r="D59" i="7"/>
  <c r="C58" i="7"/>
  <c r="G58" i="7"/>
  <c r="D40" i="7"/>
  <c r="E40" i="7"/>
  <c r="H40" i="7"/>
  <c r="C40" i="7"/>
  <c r="D35" i="7"/>
  <c r="D34" i="7"/>
  <c r="D33" i="7"/>
  <c r="D31" i="7"/>
  <c r="D30" i="7"/>
  <c r="F30" i="7"/>
  <c r="D28" i="7"/>
  <c r="H28" i="7"/>
  <c r="D27" i="7"/>
  <c r="D26" i="7"/>
  <c r="E26" i="7"/>
  <c r="D24" i="7"/>
  <c r="D23" i="7"/>
  <c r="D22" i="7"/>
  <c r="D21" i="7"/>
  <c r="E21" i="7"/>
  <c r="D15" i="7"/>
  <c r="D12" i="7"/>
  <c r="D11" i="7"/>
  <c r="H11" i="7"/>
  <c r="H9" i="7"/>
  <c r="D8" i="7"/>
  <c r="E8" i="7"/>
  <c r="D66" i="7"/>
  <c r="G63" i="7"/>
  <c r="F63" i="7"/>
  <c r="E62" i="7"/>
  <c r="G61" i="7"/>
  <c r="F61" i="7"/>
  <c r="D37" i="7"/>
  <c r="H37" i="7"/>
  <c r="D36" i="7"/>
  <c r="E36" i="7"/>
  <c r="F36" i="7"/>
  <c r="D29" i="7"/>
  <c r="G29" i="7"/>
  <c r="D20" i="7"/>
  <c r="E20" i="7"/>
  <c r="D18" i="7"/>
  <c r="H18" i="7"/>
  <c r="D17" i="7"/>
  <c r="H17" i="7"/>
  <c r="D8" i="5"/>
  <c r="E8" i="5"/>
  <c r="H8" i="5"/>
  <c r="D9" i="5"/>
  <c r="E9" i="5"/>
  <c r="F9" i="5"/>
  <c r="G9" i="5"/>
  <c r="H9" i="5"/>
  <c r="D11" i="5"/>
  <c r="E11" i="5"/>
  <c r="F11" i="5"/>
  <c r="G11" i="5"/>
  <c r="H11" i="5"/>
  <c r="D12" i="5"/>
  <c r="E12" i="5"/>
  <c r="F12" i="5"/>
  <c r="G12" i="5"/>
  <c r="H12" i="5"/>
  <c r="C14" i="5"/>
  <c r="D14" i="5"/>
  <c r="E14" i="5"/>
  <c r="F14" i="5"/>
  <c r="G14" i="5"/>
  <c r="H14" i="5"/>
  <c r="D15" i="5"/>
  <c r="E15" i="5"/>
  <c r="F15" i="5"/>
  <c r="G15" i="5"/>
  <c r="H15" i="5"/>
  <c r="D17" i="5"/>
  <c r="E17" i="5"/>
  <c r="F17" i="5"/>
  <c r="G17" i="5"/>
  <c r="H17" i="5"/>
  <c r="D18" i="5"/>
  <c r="E18" i="5"/>
  <c r="F18" i="5"/>
  <c r="G18" i="5"/>
  <c r="H18" i="5"/>
  <c r="D20" i="5"/>
  <c r="E20" i="5"/>
  <c r="F20" i="5"/>
  <c r="G20" i="5"/>
  <c r="H20" i="5"/>
  <c r="D21" i="5"/>
  <c r="E21" i="5"/>
  <c r="F21" i="5"/>
  <c r="G21" i="5"/>
  <c r="H21" i="5"/>
  <c r="D22" i="5"/>
  <c r="E22" i="5"/>
  <c r="F22" i="5"/>
  <c r="G22" i="5"/>
  <c r="H22" i="5"/>
  <c r="D23" i="5"/>
  <c r="E23" i="5"/>
  <c r="F23" i="5"/>
  <c r="G23" i="5"/>
  <c r="H23" i="5"/>
  <c r="D24" i="5"/>
  <c r="E24" i="5"/>
  <c r="F24" i="5"/>
  <c r="G24" i="5"/>
  <c r="H24" i="5"/>
  <c r="D26" i="5"/>
  <c r="E26" i="5"/>
  <c r="F26" i="5"/>
  <c r="G26" i="5"/>
  <c r="H26" i="5"/>
  <c r="D27" i="5"/>
  <c r="E27" i="5"/>
  <c r="F27" i="5"/>
  <c r="G27" i="5"/>
  <c r="H27" i="5"/>
  <c r="D28" i="5"/>
  <c r="E28" i="5"/>
  <c r="F28" i="5"/>
  <c r="G28" i="5"/>
  <c r="H28" i="5"/>
  <c r="D29" i="5"/>
  <c r="E29" i="5"/>
  <c r="F29" i="5"/>
  <c r="G29" i="5"/>
  <c r="H29" i="5"/>
  <c r="D30" i="5"/>
  <c r="E30" i="5"/>
  <c r="F30" i="5"/>
  <c r="G30" i="5"/>
  <c r="H30" i="5"/>
  <c r="D31" i="5"/>
  <c r="E31" i="5"/>
  <c r="F31" i="5"/>
  <c r="G31" i="5"/>
  <c r="H31" i="5"/>
  <c r="D33" i="5"/>
  <c r="E33" i="5"/>
  <c r="F33" i="5"/>
  <c r="G33" i="5"/>
  <c r="H33" i="5"/>
  <c r="D34" i="5"/>
  <c r="E34" i="5"/>
  <c r="F34" i="5"/>
  <c r="G34" i="5"/>
  <c r="H34" i="5"/>
  <c r="D35" i="5"/>
  <c r="E35" i="5"/>
  <c r="F35" i="5"/>
  <c r="G35" i="5"/>
  <c r="H35" i="5"/>
  <c r="D36" i="5"/>
  <c r="E36" i="5"/>
  <c r="F36" i="5"/>
  <c r="G36" i="5"/>
  <c r="H36" i="5"/>
  <c r="D37" i="5"/>
  <c r="E37" i="5"/>
  <c r="F37" i="5"/>
  <c r="G37" i="5"/>
  <c r="H37" i="5"/>
  <c r="E40" i="5"/>
  <c r="G40" i="5"/>
  <c r="H40" i="5"/>
  <c r="D58" i="5"/>
  <c r="E58" i="5"/>
  <c r="F58" i="5"/>
  <c r="G58" i="5"/>
  <c r="D59" i="5"/>
  <c r="E59" i="5"/>
  <c r="F59" i="5"/>
  <c r="G59" i="5"/>
  <c r="D60" i="5"/>
  <c r="E60" i="5"/>
  <c r="F60" i="5"/>
  <c r="G60" i="5"/>
  <c r="D61" i="5"/>
  <c r="E61" i="5"/>
  <c r="F61" i="5"/>
  <c r="G61" i="5"/>
  <c r="D62" i="5"/>
  <c r="E62" i="5"/>
  <c r="F62" i="5"/>
  <c r="G62" i="5"/>
  <c r="D63" i="5"/>
  <c r="E63" i="5"/>
  <c r="F63" i="5"/>
  <c r="G63" i="5"/>
  <c r="D64" i="5"/>
  <c r="E64" i="5"/>
  <c r="F64" i="5"/>
  <c r="G64" i="5"/>
  <c r="D65" i="5"/>
  <c r="E65" i="5"/>
  <c r="F65" i="5"/>
  <c r="G65" i="5"/>
  <c r="D66" i="5"/>
  <c r="E66" i="5"/>
  <c r="F66" i="5"/>
  <c r="G66" i="5"/>
  <c r="D67" i="5"/>
  <c r="E67" i="5"/>
  <c r="F67" i="5"/>
  <c r="G67" i="5"/>
  <c r="D84" i="5"/>
  <c r="E84" i="5"/>
  <c r="D86" i="5"/>
  <c r="E86" i="5"/>
  <c r="D88" i="5"/>
  <c r="E88" i="5"/>
  <c r="D90" i="5"/>
  <c r="E90" i="5"/>
  <c r="D92" i="5"/>
  <c r="E92" i="5"/>
  <c r="D94" i="5"/>
  <c r="E94" i="5"/>
  <c r="D96" i="5"/>
  <c r="E96" i="5"/>
  <c r="D8" i="4"/>
  <c r="E8" i="4"/>
  <c r="F8" i="4"/>
  <c r="G8" i="4"/>
  <c r="H8" i="4"/>
  <c r="D9" i="4"/>
  <c r="E9" i="4"/>
  <c r="F9" i="4"/>
  <c r="G9" i="4"/>
  <c r="H9" i="4"/>
  <c r="D11" i="4"/>
  <c r="E11" i="4"/>
  <c r="F11" i="4"/>
  <c r="G11" i="4"/>
  <c r="H11" i="4"/>
  <c r="D12" i="4"/>
  <c r="E12" i="4"/>
  <c r="F12" i="4"/>
  <c r="G12" i="4"/>
  <c r="H12" i="4"/>
  <c r="C14" i="4"/>
  <c r="D14" i="4"/>
  <c r="E14" i="4"/>
  <c r="F14" i="4"/>
  <c r="G14" i="4"/>
  <c r="H14" i="4"/>
  <c r="D15" i="4"/>
  <c r="E15" i="4"/>
  <c r="F15" i="4"/>
  <c r="G15" i="4"/>
  <c r="H15" i="4"/>
  <c r="D17" i="4"/>
  <c r="E17" i="4"/>
  <c r="F17" i="4"/>
  <c r="G17" i="4"/>
  <c r="H17" i="4"/>
  <c r="D18" i="4"/>
  <c r="E18" i="4"/>
  <c r="F18" i="4"/>
  <c r="G18" i="4"/>
  <c r="H18" i="4"/>
  <c r="D20" i="4"/>
  <c r="E20" i="4"/>
  <c r="F20" i="4"/>
  <c r="G20" i="4"/>
  <c r="H20" i="4"/>
  <c r="D21" i="4"/>
  <c r="E21" i="4"/>
  <c r="F21" i="4"/>
  <c r="G21" i="4"/>
  <c r="H21" i="4"/>
  <c r="D22" i="4"/>
  <c r="E22" i="4"/>
  <c r="F22" i="4"/>
  <c r="G22" i="4"/>
  <c r="H22" i="4"/>
  <c r="D23" i="4"/>
  <c r="E23" i="4"/>
  <c r="F23" i="4"/>
  <c r="G23" i="4"/>
  <c r="H23" i="4"/>
  <c r="D24" i="4"/>
  <c r="E24" i="4"/>
  <c r="F24" i="4"/>
  <c r="G24" i="4"/>
  <c r="H24" i="4"/>
  <c r="D26" i="4"/>
  <c r="E26" i="4"/>
  <c r="F26" i="4"/>
  <c r="G26" i="4"/>
  <c r="H26" i="4"/>
  <c r="D27" i="4"/>
  <c r="E27" i="4"/>
  <c r="F27" i="4"/>
  <c r="G27" i="4"/>
  <c r="H27" i="4"/>
  <c r="D28" i="4"/>
  <c r="E28" i="4"/>
  <c r="F28" i="4"/>
  <c r="G28" i="4"/>
  <c r="H28" i="4"/>
  <c r="D29" i="4"/>
  <c r="E29" i="4"/>
  <c r="F29" i="4"/>
  <c r="G29" i="4"/>
  <c r="H29" i="4"/>
  <c r="D30" i="4"/>
  <c r="E30" i="4"/>
  <c r="F30" i="4"/>
  <c r="G30" i="4"/>
  <c r="H30" i="4"/>
  <c r="D31" i="4"/>
  <c r="E31" i="4"/>
  <c r="F31" i="4"/>
  <c r="G31" i="4"/>
  <c r="H31" i="4"/>
  <c r="D33" i="4"/>
  <c r="E33" i="4"/>
  <c r="F33" i="4"/>
  <c r="G33" i="4"/>
  <c r="H33" i="4"/>
  <c r="D34" i="4"/>
  <c r="E34" i="4"/>
  <c r="F34" i="4"/>
  <c r="G34" i="4"/>
  <c r="H34" i="4"/>
  <c r="D35" i="4"/>
  <c r="E35" i="4"/>
  <c r="F35" i="4"/>
  <c r="G35" i="4"/>
  <c r="H35" i="4"/>
  <c r="D36" i="4"/>
  <c r="E36" i="4"/>
  <c r="F36" i="4"/>
  <c r="G36" i="4"/>
  <c r="H36" i="4"/>
  <c r="D37" i="4"/>
  <c r="E37" i="4"/>
  <c r="F37" i="4"/>
  <c r="G37" i="4"/>
  <c r="H37" i="4"/>
  <c r="C40" i="4"/>
  <c r="E40" i="4"/>
  <c r="G40" i="4"/>
  <c r="H40" i="4"/>
  <c r="C61" i="4"/>
  <c r="D61" i="4"/>
  <c r="E61" i="4"/>
  <c r="F61" i="4"/>
  <c r="G61" i="4"/>
  <c r="C62" i="4"/>
  <c r="D62" i="4"/>
  <c r="E62" i="4"/>
  <c r="F62" i="4"/>
  <c r="G62" i="4"/>
  <c r="C63" i="4"/>
  <c r="D63" i="4"/>
  <c r="E63" i="4"/>
  <c r="F63" i="4"/>
  <c r="G63" i="4"/>
  <c r="C64" i="4"/>
  <c r="D64" i="4"/>
  <c r="E64" i="4"/>
  <c r="F64" i="4"/>
  <c r="G64" i="4"/>
  <c r="C65" i="4"/>
  <c r="D65" i="4"/>
  <c r="E65" i="4"/>
  <c r="F65" i="4"/>
  <c r="G65" i="4"/>
  <c r="C66" i="4"/>
  <c r="D66" i="4"/>
  <c r="E66" i="4"/>
  <c r="F66" i="4"/>
  <c r="G66" i="4"/>
  <c r="C67" i="4"/>
  <c r="D67" i="4"/>
  <c r="E67" i="4"/>
  <c r="F67" i="4"/>
  <c r="G67" i="4"/>
  <c r="C68" i="4"/>
  <c r="D68" i="4"/>
  <c r="E68" i="4"/>
  <c r="F68" i="4"/>
  <c r="G68" i="4"/>
  <c r="C69" i="4"/>
  <c r="D69" i="4"/>
  <c r="E69" i="4"/>
  <c r="F69" i="4"/>
  <c r="G69" i="4"/>
  <c r="C70" i="4"/>
  <c r="D70" i="4"/>
  <c r="E70" i="4"/>
  <c r="F70" i="4"/>
  <c r="G70" i="4"/>
  <c r="B87" i="4"/>
  <c r="C87" i="4"/>
  <c r="D87" i="4"/>
  <c r="E87" i="4"/>
  <c r="B89" i="4"/>
  <c r="C89" i="4"/>
  <c r="D89" i="4"/>
  <c r="E89" i="4"/>
  <c r="B91" i="4"/>
  <c r="C91" i="4"/>
  <c r="D91" i="4"/>
  <c r="E91" i="4"/>
  <c r="B93" i="4"/>
  <c r="C93" i="4"/>
  <c r="D93" i="4"/>
  <c r="E93" i="4"/>
  <c r="B95" i="4"/>
  <c r="C95" i="4"/>
  <c r="D95" i="4"/>
  <c r="E95" i="4"/>
  <c r="B97" i="4"/>
  <c r="C97" i="4"/>
  <c r="D97" i="4"/>
  <c r="E97" i="4"/>
  <c r="B99" i="4"/>
  <c r="C99" i="4"/>
  <c r="D99" i="4"/>
  <c r="E99" i="4"/>
  <c r="K7" i="3"/>
  <c r="L7" i="3"/>
  <c r="M7" i="3"/>
  <c r="N7" i="3"/>
  <c r="O7" i="3"/>
  <c r="P7" i="3"/>
  <c r="D8" i="3"/>
  <c r="E8" i="3"/>
  <c r="F8" i="3"/>
  <c r="G8" i="3"/>
  <c r="H8" i="3"/>
  <c r="I8" i="3"/>
  <c r="K8" i="3"/>
  <c r="L8" i="3"/>
  <c r="M8" i="3"/>
  <c r="N8" i="3"/>
  <c r="O8" i="3"/>
  <c r="P8" i="3"/>
  <c r="I9" i="3"/>
  <c r="K9" i="3"/>
  <c r="L9" i="3"/>
  <c r="M9" i="3"/>
  <c r="N9" i="3"/>
  <c r="O9" i="3"/>
  <c r="P9" i="3"/>
  <c r="C10" i="3"/>
  <c r="D10" i="3"/>
  <c r="E10" i="3"/>
  <c r="F10" i="3"/>
  <c r="G10" i="3"/>
  <c r="H10" i="3"/>
  <c r="I10" i="3"/>
  <c r="K10" i="3"/>
  <c r="L10" i="3"/>
  <c r="M10" i="3"/>
  <c r="N10" i="3"/>
  <c r="O10" i="3"/>
  <c r="P10" i="3"/>
  <c r="I11" i="3"/>
  <c r="K11" i="3"/>
  <c r="L11" i="3"/>
  <c r="M11" i="3"/>
  <c r="N11" i="3"/>
  <c r="O11" i="3"/>
  <c r="P11" i="3"/>
  <c r="D12" i="3"/>
  <c r="E12" i="3"/>
  <c r="F12" i="3"/>
  <c r="G12" i="3"/>
  <c r="H12" i="3"/>
  <c r="I12" i="3"/>
  <c r="K12" i="3"/>
  <c r="L12" i="3"/>
  <c r="M12" i="3"/>
  <c r="N12" i="3"/>
  <c r="O12" i="3"/>
  <c r="P12" i="3"/>
  <c r="I13" i="3"/>
  <c r="K13" i="3"/>
  <c r="L13" i="3"/>
  <c r="M13" i="3"/>
  <c r="N13" i="3"/>
  <c r="O13" i="3"/>
  <c r="P13" i="3"/>
  <c r="D14" i="3"/>
  <c r="E14" i="3"/>
  <c r="F14" i="3"/>
  <c r="G14" i="3"/>
  <c r="H14" i="3"/>
  <c r="I14" i="3"/>
  <c r="K14" i="3"/>
  <c r="L14" i="3"/>
  <c r="M14" i="3"/>
  <c r="N14" i="3"/>
  <c r="O14" i="3"/>
  <c r="P14" i="3"/>
  <c r="I15" i="3"/>
  <c r="K15" i="3"/>
  <c r="L15" i="3"/>
  <c r="M15" i="3"/>
  <c r="N15" i="3"/>
  <c r="O15" i="3"/>
  <c r="P15" i="3"/>
  <c r="C16" i="3"/>
  <c r="D16" i="3"/>
  <c r="E16" i="3"/>
  <c r="F16" i="3"/>
  <c r="G16" i="3"/>
  <c r="H16" i="3"/>
  <c r="I16" i="3"/>
  <c r="K16" i="3"/>
  <c r="L16" i="3"/>
  <c r="M16" i="3"/>
  <c r="N16" i="3"/>
  <c r="O16" i="3"/>
  <c r="P16" i="3"/>
  <c r="I17" i="3"/>
  <c r="K17" i="3"/>
  <c r="L17" i="3"/>
  <c r="M17" i="3"/>
  <c r="N17" i="3"/>
  <c r="O17" i="3"/>
  <c r="P17" i="3"/>
  <c r="D18" i="3"/>
  <c r="E18" i="3"/>
  <c r="F18" i="3"/>
  <c r="G18" i="3"/>
  <c r="H18" i="3"/>
  <c r="I18" i="3"/>
  <c r="K18" i="3"/>
  <c r="L18" i="3"/>
  <c r="M18" i="3"/>
  <c r="N18" i="3"/>
  <c r="O18" i="3"/>
  <c r="P18" i="3"/>
  <c r="I19" i="3"/>
  <c r="K19" i="3"/>
  <c r="L19" i="3"/>
  <c r="M19" i="3"/>
  <c r="N19" i="3"/>
  <c r="O19" i="3"/>
  <c r="P19" i="3"/>
  <c r="D20" i="3"/>
  <c r="E20" i="3"/>
  <c r="F20" i="3"/>
  <c r="G20" i="3"/>
  <c r="H20" i="3"/>
  <c r="I20" i="3"/>
  <c r="K20" i="3"/>
  <c r="L20" i="3"/>
  <c r="M20" i="3"/>
  <c r="N20" i="3"/>
  <c r="O20" i="3"/>
  <c r="P20" i="3"/>
  <c r="I21" i="3"/>
  <c r="K21" i="3"/>
  <c r="L21" i="3"/>
  <c r="M21" i="3"/>
  <c r="N21" i="3"/>
  <c r="O21" i="3"/>
  <c r="P21" i="3"/>
  <c r="I22" i="3"/>
  <c r="K22" i="3"/>
  <c r="L22" i="3"/>
  <c r="M22" i="3"/>
  <c r="N22" i="3"/>
  <c r="O22" i="3"/>
  <c r="P22" i="3"/>
  <c r="D23" i="3"/>
  <c r="E23" i="3"/>
  <c r="F23" i="3"/>
  <c r="G23" i="3"/>
  <c r="H23" i="3"/>
  <c r="I23" i="3"/>
  <c r="K23" i="3"/>
  <c r="L23" i="3"/>
  <c r="M23" i="3"/>
  <c r="N23" i="3"/>
  <c r="O23" i="3"/>
  <c r="P23" i="3"/>
  <c r="I24" i="3"/>
  <c r="K24" i="3"/>
  <c r="L24" i="3"/>
  <c r="M24" i="3"/>
  <c r="N24" i="3"/>
  <c r="O24" i="3"/>
  <c r="P24" i="3"/>
  <c r="D25" i="3"/>
  <c r="E25" i="3"/>
  <c r="F25" i="3"/>
  <c r="G25" i="3"/>
  <c r="H25" i="3"/>
  <c r="I25" i="3"/>
  <c r="K25" i="3"/>
  <c r="L25" i="3"/>
  <c r="M25" i="3"/>
  <c r="N25" i="3"/>
  <c r="O25" i="3"/>
  <c r="P25" i="3"/>
  <c r="D26" i="3"/>
  <c r="E26" i="3"/>
  <c r="F26" i="3"/>
  <c r="G26" i="3"/>
  <c r="H26" i="3"/>
  <c r="I26" i="3"/>
  <c r="K26" i="3"/>
  <c r="L26" i="3"/>
  <c r="M26" i="3"/>
  <c r="N26" i="3"/>
  <c r="O26" i="3"/>
  <c r="P26" i="3"/>
  <c r="D27" i="3"/>
  <c r="E27" i="3"/>
  <c r="F27" i="3"/>
  <c r="G27" i="3"/>
  <c r="H27" i="3"/>
  <c r="I27" i="3"/>
  <c r="K27" i="3"/>
  <c r="L27" i="3"/>
  <c r="M27" i="3"/>
  <c r="N27" i="3"/>
  <c r="O27" i="3"/>
  <c r="P27" i="3"/>
  <c r="D28" i="3"/>
  <c r="E28" i="3"/>
  <c r="F28" i="3"/>
  <c r="G28" i="3"/>
  <c r="H28" i="3"/>
  <c r="I28" i="3"/>
  <c r="K28" i="3"/>
  <c r="L28" i="3"/>
  <c r="M28" i="3"/>
  <c r="N28" i="3"/>
  <c r="O28" i="3"/>
  <c r="P28" i="3"/>
  <c r="D29" i="3"/>
  <c r="E29" i="3"/>
  <c r="F29" i="3"/>
  <c r="G29" i="3"/>
  <c r="H29" i="3"/>
  <c r="I29" i="3"/>
  <c r="I30" i="3"/>
  <c r="D31" i="3"/>
  <c r="E31" i="3"/>
  <c r="F31" i="3"/>
  <c r="G31" i="3"/>
  <c r="H31" i="3"/>
  <c r="I31" i="3"/>
  <c r="D32" i="3"/>
  <c r="E32" i="3"/>
  <c r="F32" i="3"/>
  <c r="G32" i="3"/>
  <c r="H32" i="3"/>
  <c r="I32" i="3"/>
  <c r="D33" i="3"/>
  <c r="E33" i="3"/>
  <c r="F33" i="3"/>
  <c r="G33" i="3"/>
  <c r="H33" i="3"/>
  <c r="I33" i="3"/>
  <c r="D34" i="3"/>
  <c r="E34" i="3"/>
  <c r="F34" i="3"/>
  <c r="G34" i="3"/>
  <c r="H34" i="3"/>
  <c r="I34" i="3"/>
  <c r="D35" i="3"/>
  <c r="E35" i="3"/>
  <c r="F35" i="3"/>
  <c r="G35" i="3"/>
  <c r="H35" i="3"/>
  <c r="I35" i="3"/>
  <c r="D36" i="3"/>
  <c r="E36" i="3"/>
  <c r="F36" i="3"/>
  <c r="G36" i="3"/>
  <c r="H36" i="3"/>
  <c r="I36" i="3"/>
  <c r="I37" i="3"/>
  <c r="D38" i="3"/>
  <c r="E38" i="3"/>
  <c r="F38" i="3"/>
  <c r="G38" i="3"/>
  <c r="H38" i="3"/>
  <c r="I38" i="3"/>
  <c r="D39" i="3"/>
  <c r="E39" i="3"/>
  <c r="F39" i="3"/>
  <c r="G39" i="3"/>
  <c r="H39" i="3"/>
  <c r="I39" i="3"/>
  <c r="D40" i="3"/>
  <c r="E40" i="3"/>
  <c r="F40" i="3"/>
  <c r="G40" i="3"/>
  <c r="H40" i="3"/>
  <c r="I40" i="3"/>
  <c r="D41" i="3"/>
  <c r="E41" i="3"/>
  <c r="F41" i="3"/>
  <c r="G41" i="3"/>
  <c r="H41" i="3"/>
  <c r="I41" i="3"/>
  <c r="D42" i="3"/>
  <c r="E42" i="3"/>
  <c r="F42" i="3"/>
  <c r="G42" i="3"/>
  <c r="H42" i="3"/>
  <c r="I42" i="3"/>
  <c r="I43" i="3"/>
  <c r="I44" i="3"/>
  <c r="C45" i="3"/>
  <c r="E45" i="3"/>
  <c r="G45" i="3"/>
  <c r="H45" i="3"/>
  <c r="I45" i="3"/>
  <c r="J45" i="3"/>
  <c r="D66" i="3"/>
  <c r="E66" i="3"/>
  <c r="F66" i="3"/>
  <c r="G66" i="3"/>
  <c r="D67" i="3"/>
  <c r="E67" i="3"/>
  <c r="F67" i="3"/>
  <c r="G67" i="3"/>
  <c r="D68" i="3"/>
  <c r="E68" i="3"/>
  <c r="F68" i="3"/>
  <c r="G68" i="3"/>
  <c r="D69" i="3"/>
  <c r="E69" i="3"/>
  <c r="F69" i="3"/>
  <c r="G69" i="3"/>
  <c r="D70" i="3"/>
  <c r="E70" i="3"/>
  <c r="F70" i="3"/>
  <c r="G70" i="3"/>
  <c r="D71" i="3"/>
  <c r="E71" i="3"/>
  <c r="F71" i="3"/>
  <c r="G71" i="3"/>
  <c r="D72" i="3"/>
  <c r="E72" i="3"/>
  <c r="F72" i="3"/>
  <c r="G72" i="3"/>
  <c r="D73" i="3"/>
  <c r="E73" i="3"/>
  <c r="F73" i="3"/>
  <c r="G73" i="3"/>
  <c r="D74" i="3"/>
  <c r="E74" i="3"/>
  <c r="F74" i="3"/>
  <c r="G74" i="3"/>
  <c r="D75" i="3"/>
  <c r="E75" i="3"/>
  <c r="F75" i="3"/>
  <c r="G75" i="3"/>
  <c r="D92" i="3"/>
  <c r="E92" i="3"/>
  <c r="D94" i="3"/>
  <c r="E94" i="3"/>
  <c r="D96" i="3"/>
  <c r="E96" i="3"/>
  <c r="D98" i="3"/>
  <c r="E98" i="3"/>
  <c r="D100" i="3"/>
  <c r="E100" i="3"/>
  <c r="D102" i="3"/>
  <c r="E102" i="3"/>
  <c r="D104" i="3"/>
  <c r="E104" i="3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B14" i="1"/>
  <c r="C14" i="1"/>
  <c r="D14" i="1"/>
  <c r="E14" i="1"/>
  <c r="F14" i="1"/>
  <c r="G14" i="1"/>
  <c r="C15" i="1"/>
  <c r="D15" i="1"/>
  <c r="E15" i="1"/>
  <c r="F15" i="1"/>
  <c r="G15" i="1"/>
  <c r="C16" i="1"/>
  <c r="D16" i="1"/>
  <c r="E16" i="1"/>
  <c r="F16" i="1"/>
  <c r="G16" i="1"/>
  <c r="C18" i="1"/>
  <c r="D18" i="1"/>
  <c r="E18" i="1"/>
  <c r="F18" i="1"/>
  <c r="G18" i="1"/>
  <c r="C19" i="1"/>
  <c r="D19" i="1"/>
  <c r="E19" i="1"/>
  <c r="F19" i="1"/>
  <c r="G19" i="1"/>
  <c r="C20" i="1"/>
  <c r="D20" i="1"/>
  <c r="E20" i="1"/>
  <c r="F20" i="1"/>
  <c r="G20" i="1"/>
  <c r="C21" i="1"/>
  <c r="D21" i="1"/>
  <c r="E21" i="1"/>
  <c r="F21" i="1"/>
  <c r="G21" i="1"/>
  <c r="C23" i="1"/>
  <c r="D23" i="1"/>
  <c r="E23" i="1"/>
  <c r="F23" i="1"/>
  <c r="G23" i="1"/>
  <c r="C24" i="1"/>
  <c r="D24" i="1"/>
  <c r="E24" i="1"/>
  <c r="F24" i="1"/>
  <c r="G24" i="1"/>
  <c r="C25" i="1"/>
  <c r="D25" i="1"/>
  <c r="E25" i="1"/>
  <c r="F25" i="1"/>
  <c r="G25" i="1"/>
  <c r="C26" i="1"/>
  <c r="D26" i="1"/>
  <c r="E26" i="1"/>
  <c r="F26" i="1"/>
  <c r="G26" i="1"/>
  <c r="C28" i="1"/>
  <c r="D28" i="1"/>
  <c r="E28" i="1"/>
  <c r="F28" i="1"/>
  <c r="G28" i="1"/>
  <c r="C29" i="1"/>
  <c r="D29" i="1"/>
  <c r="E29" i="1"/>
  <c r="F29" i="1"/>
  <c r="G29" i="1"/>
  <c r="C30" i="1"/>
  <c r="D30" i="1"/>
  <c r="E30" i="1"/>
  <c r="F30" i="1"/>
  <c r="G30" i="1"/>
  <c r="C31" i="1"/>
  <c r="D31" i="1"/>
  <c r="E31" i="1"/>
  <c r="F31" i="1"/>
  <c r="G31" i="1"/>
  <c r="C33" i="1"/>
  <c r="D33" i="1"/>
  <c r="E33" i="1"/>
  <c r="F33" i="1"/>
  <c r="G33" i="1"/>
  <c r="C34" i="1"/>
  <c r="D34" i="1"/>
  <c r="E34" i="1"/>
  <c r="F34" i="1"/>
  <c r="G34" i="1"/>
  <c r="C35" i="1"/>
  <c r="D35" i="1"/>
  <c r="E35" i="1"/>
  <c r="F35" i="1"/>
  <c r="G35" i="1"/>
  <c r="B38" i="1"/>
  <c r="D38" i="1"/>
  <c r="F38" i="1"/>
  <c r="G38" i="1"/>
  <c r="D56" i="1"/>
  <c r="E56" i="1"/>
  <c r="F56" i="1"/>
  <c r="H56" i="1"/>
  <c r="D57" i="1"/>
  <c r="E57" i="1"/>
  <c r="F57" i="1"/>
  <c r="H57" i="1"/>
  <c r="D58" i="1"/>
  <c r="E58" i="1"/>
  <c r="F58" i="1"/>
  <c r="H58" i="1"/>
  <c r="D59" i="1"/>
  <c r="E59" i="1"/>
  <c r="F59" i="1"/>
  <c r="H59" i="1"/>
  <c r="D60" i="1"/>
  <c r="E60" i="1"/>
  <c r="F60" i="1"/>
  <c r="H60" i="1"/>
  <c r="D61" i="1"/>
  <c r="E61" i="1"/>
  <c r="F61" i="1"/>
  <c r="H61" i="1"/>
  <c r="D62" i="1"/>
  <c r="E62" i="1"/>
  <c r="F62" i="1"/>
  <c r="H62" i="1"/>
  <c r="D63" i="1"/>
  <c r="E63" i="1"/>
  <c r="F63" i="1"/>
  <c r="H63" i="1"/>
  <c r="D64" i="1"/>
  <c r="E64" i="1"/>
  <c r="F64" i="1"/>
  <c r="H64" i="1"/>
  <c r="D65" i="1"/>
  <c r="E65" i="1"/>
  <c r="F65" i="1"/>
  <c r="H65" i="1"/>
  <c r="D76" i="1"/>
  <c r="E76" i="1"/>
  <c r="D78" i="1"/>
  <c r="E78" i="1"/>
  <c r="D80" i="1"/>
  <c r="E80" i="1"/>
  <c r="D82" i="1"/>
  <c r="E82" i="1"/>
  <c r="D84" i="1"/>
  <c r="E84" i="1"/>
  <c r="D86" i="1"/>
  <c r="E86" i="1"/>
  <c r="D88" i="1"/>
  <c r="E88" i="1"/>
  <c r="G8" i="5"/>
  <c r="F8" i="5"/>
  <c r="G30" i="7"/>
  <c r="E59" i="7"/>
  <c r="F59" i="7"/>
  <c r="G59" i="7"/>
  <c r="G67" i="7"/>
  <c r="G40" i="7"/>
  <c r="G65" i="7"/>
  <c r="D67" i="7"/>
  <c r="E66" i="7"/>
  <c r="F66" i="7"/>
  <c r="G66" i="7"/>
  <c r="D65" i="7"/>
  <c r="E65" i="7"/>
  <c r="F62" i="7"/>
  <c r="D60" i="7"/>
  <c r="F60" i="7"/>
  <c r="G60" i="7"/>
  <c r="D58" i="7"/>
  <c r="E58" i="7"/>
  <c r="F58" i="7"/>
  <c r="H26" i="7"/>
  <c r="F26" i="7"/>
  <c r="G21" i="7"/>
  <c r="H21" i="7"/>
  <c r="F21" i="7"/>
  <c r="F11" i="7"/>
  <c r="F9" i="7"/>
  <c r="E18" i="7"/>
  <c r="G26" i="7"/>
  <c r="E37" i="7"/>
  <c r="F37" i="7"/>
  <c r="G18" i="7"/>
  <c r="G37" i="7"/>
  <c r="H36" i="7"/>
  <c r="G36" i="7"/>
  <c r="E30" i="7"/>
  <c r="F28" i="7"/>
  <c r="E28" i="7"/>
  <c r="G28" i="7"/>
  <c r="G20" i="7"/>
  <c r="H20" i="7"/>
  <c r="F20" i="7"/>
  <c r="F18" i="7"/>
  <c r="D9" i="7"/>
  <c r="E11" i="7"/>
  <c r="E9" i="7"/>
  <c r="G11" i="7"/>
  <c r="G9" i="7"/>
  <c r="H8" i="7"/>
  <c r="G8" i="7"/>
  <c r="F8" i="7"/>
  <c r="F31" i="7"/>
  <c r="H31" i="7"/>
  <c r="G31" i="7"/>
  <c r="E31" i="7"/>
  <c r="F27" i="7"/>
  <c r="E27" i="7"/>
  <c r="H27" i="7"/>
  <c r="G27" i="7"/>
  <c r="H33" i="7"/>
  <c r="G33" i="7"/>
  <c r="F33" i="7"/>
  <c r="E33" i="7"/>
  <c r="E34" i="7"/>
  <c r="H34" i="7"/>
  <c r="G34" i="7"/>
  <c r="F34" i="7"/>
  <c r="E35" i="7"/>
  <c r="F35" i="7"/>
  <c r="G35" i="7"/>
  <c r="H35" i="7"/>
  <c r="H22" i="7"/>
  <c r="G22" i="7"/>
  <c r="E22" i="7"/>
  <c r="F22" i="7"/>
  <c r="D14" i="7"/>
  <c r="F12" i="7"/>
  <c r="F14" i="7"/>
  <c r="G12" i="7"/>
  <c r="G14" i="7"/>
  <c r="H12" i="7"/>
  <c r="H14" i="7"/>
  <c r="E12" i="7"/>
  <c r="E14" i="7"/>
  <c r="F23" i="7"/>
  <c r="G23" i="7"/>
  <c r="H23" i="7"/>
  <c r="E23" i="7"/>
  <c r="E15" i="7"/>
  <c r="H15" i="7"/>
  <c r="G15" i="7"/>
  <c r="F15" i="7"/>
  <c r="G24" i="7"/>
  <c r="F24" i="7"/>
  <c r="E24" i="7"/>
  <c r="H24" i="7"/>
  <c r="E29" i="7"/>
  <c r="E64" i="7"/>
  <c r="H30" i="7"/>
  <c r="F17" i="7"/>
  <c r="H29" i="7"/>
  <c r="E61" i="7"/>
  <c r="F64" i="7"/>
  <c r="G64" i="7"/>
  <c r="E17" i="7"/>
  <c r="G17" i="7"/>
  <c r="E63" i="7"/>
  <c r="F29" i="7"/>
  <c r="E11" i="8"/>
  <c r="E9" i="8"/>
  <c r="H11" i="8"/>
  <c r="H9" i="8"/>
  <c r="G11" i="8"/>
  <c r="G9" i="8"/>
  <c r="F11" i="8"/>
  <c r="F9" i="8"/>
  <c r="D9" i="8"/>
  <c r="D14" i="8"/>
  <c r="G15" i="8"/>
  <c r="E18" i="8"/>
  <c r="H20" i="8"/>
  <c r="G26" i="8"/>
  <c r="E28" i="8"/>
  <c r="H29" i="8"/>
  <c r="G35" i="8"/>
  <c r="E37" i="8"/>
  <c r="F62" i="8"/>
  <c r="D64" i="8"/>
  <c r="G65" i="8"/>
  <c r="E21" i="8"/>
  <c r="E30" i="8"/>
  <c r="D58" i="8"/>
  <c r="D66" i="8"/>
  <c r="E12" i="8"/>
  <c r="E14" i="8"/>
  <c r="E17" i="8"/>
  <c r="F21" i="8"/>
  <c r="E27" i="8"/>
  <c r="F30" i="8"/>
  <c r="E36" i="8"/>
  <c r="E58" i="8"/>
  <c r="D63" i="8"/>
  <c r="E66" i="8"/>
  <c r="F12" i="8"/>
  <c r="F14" i="8"/>
  <c r="F17" i="8"/>
  <c r="G21" i="8"/>
  <c r="F27" i="8"/>
  <c r="G30" i="8"/>
  <c r="F36" i="8"/>
  <c r="F58" i="8"/>
  <c r="E63" i="8"/>
  <c r="F66" i="8"/>
  <c r="G12" i="8"/>
  <c r="G14" i="8"/>
  <c r="G17" i="8"/>
  <c r="E20" i="8"/>
  <c r="G27" i="8"/>
  <c r="E29" i="8"/>
  <c r="G36" i="8"/>
  <c r="F63" i="8"/>
  <c r="D65" i="8"/>
  <c r="H18" i="9"/>
  <c r="E18" i="9"/>
  <c r="E20" i="9"/>
  <c r="F20" i="9"/>
  <c r="F21" i="9"/>
  <c r="H21" i="9"/>
  <c r="E21" i="9"/>
  <c r="G22" i="9"/>
  <c r="H28" i="9"/>
  <c r="F28" i="9"/>
  <c r="E27" i="9"/>
  <c r="G27" i="9"/>
  <c r="F22" i="9"/>
  <c r="H22" i="9"/>
  <c r="H20" i="9"/>
  <c r="E17" i="9"/>
  <c r="G17" i="9"/>
  <c r="G12" i="9"/>
  <c r="G14" i="9"/>
  <c r="E12" i="9"/>
  <c r="E14" i="9"/>
  <c r="D14" i="9"/>
  <c r="F15" i="9"/>
  <c r="H23" i="9"/>
  <c r="H33" i="9"/>
  <c r="F35" i="9"/>
  <c r="G15" i="9"/>
  <c r="G26" i="9"/>
  <c r="G35" i="9"/>
  <c r="E37" i="9"/>
  <c r="F62" i="9"/>
  <c r="D64" i="9"/>
  <c r="G65" i="9"/>
  <c r="H15" i="9"/>
  <c r="E24" i="9"/>
  <c r="H26" i="9"/>
  <c r="E34" i="9"/>
  <c r="H35" i="9"/>
  <c r="F24" i="9"/>
  <c r="G37" i="9"/>
  <c r="D58" i="9"/>
  <c r="F64" i="9"/>
  <c r="D66" i="9"/>
  <c r="G34" i="9"/>
  <c r="E58" i="9"/>
  <c r="D63" i="9"/>
  <c r="E66" i="9"/>
  <c r="F12" i="9"/>
  <c r="F14" i="9"/>
  <c r="F17" i="9"/>
  <c r="F27" i="9"/>
  <c r="E33" i="9"/>
  <c r="F58" i="9"/>
  <c r="E63" i="9"/>
  <c r="F66" i="9"/>
  <c r="F33" i="9"/>
  <c r="G36" i="9"/>
  <c r="F63" i="9"/>
  <c r="E36" i="9"/>
  <c r="F36" i="9"/>
  <c r="H34" i="9"/>
  <c r="E31" i="9"/>
  <c r="F31" i="9"/>
  <c r="F30" i="9"/>
  <c r="H30" i="9"/>
  <c r="G30" i="9"/>
  <c r="E28" i="9"/>
  <c r="F26" i="9"/>
  <c r="G24" i="9"/>
  <c r="F23" i="9"/>
  <c r="E23" i="9"/>
  <c r="D9" i="9"/>
  <c r="F11" i="9"/>
  <c r="F9" i="9"/>
  <c r="H11" i="9"/>
  <c r="H9" i="9"/>
  <c r="E11" i="9"/>
  <c r="E9" i="9"/>
  <c r="G11" i="9"/>
  <c r="G9" i="9"/>
  <c r="G67" i="10"/>
  <c r="D67" i="10"/>
  <c r="D65" i="10"/>
  <c r="E65" i="10"/>
  <c r="F65" i="10"/>
  <c r="D61" i="10"/>
  <c r="E61" i="10"/>
  <c r="D60" i="10"/>
  <c r="E40" i="10"/>
  <c r="H40" i="10"/>
  <c r="F36" i="10"/>
  <c r="E36" i="10"/>
  <c r="H33" i="10"/>
  <c r="G33" i="10"/>
  <c r="F31" i="10"/>
  <c r="E27" i="10"/>
  <c r="G27" i="10"/>
  <c r="F26" i="10"/>
  <c r="E24" i="10"/>
  <c r="F24" i="10"/>
  <c r="E22" i="10"/>
  <c r="F22" i="10"/>
  <c r="G18" i="10"/>
  <c r="H18" i="10"/>
  <c r="E12" i="10"/>
  <c r="E14" i="10"/>
  <c r="F12" i="10"/>
  <c r="F14" i="10"/>
  <c r="H11" i="10"/>
  <c r="H9" i="10"/>
  <c r="D9" i="10"/>
  <c r="E28" i="10"/>
  <c r="F37" i="10"/>
  <c r="E21" i="10"/>
  <c r="G23" i="10"/>
  <c r="F29" i="10"/>
  <c r="E35" i="10"/>
  <c r="G37" i="10"/>
  <c r="F11" i="10"/>
  <c r="F9" i="10"/>
  <c r="F21" i="10"/>
  <c r="H37" i="10"/>
  <c r="G11" i="10"/>
  <c r="G9" i="10"/>
  <c r="E18" i="10"/>
  <c r="G21" i="10"/>
  <c r="E33" i="10"/>
  <c r="G35" i="10"/>
  <c r="G12" i="10"/>
  <c r="G14" i="10"/>
  <c r="E20" i="10"/>
  <c r="G22" i="10"/>
  <c r="F28" i="10"/>
  <c r="G36" i="10"/>
  <c r="H12" i="10"/>
  <c r="H14" i="10"/>
  <c r="F20" i="10"/>
  <c r="E26" i="10"/>
  <c r="G28" i="10"/>
  <c r="G20" i="10"/>
  <c r="H17" i="10"/>
  <c r="E34" i="10"/>
  <c r="F15" i="10"/>
  <c r="G29" i="10"/>
  <c r="H23" i="10"/>
  <c r="E17" i="10"/>
  <c r="G34" i="10"/>
  <c r="E30" i="10"/>
  <c r="F23" i="10"/>
  <c r="F30" i="10"/>
  <c r="F34" i="10"/>
  <c r="G30" i="10"/>
  <c r="H15" i="10"/>
  <c r="G31" i="10"/>
  <c r="E15" i="10"/>
  <c r="H31" i="10"/>
  <c r="F17" i="12"/>
  <c r="E26" i="12"/>
  <c r="F28" i="12"/>
  <c r="H31" i="12"/>
  <c r="G30" i="12"/>
  <c r="G11" i="12"/>
  <c r="G9" i="12" s="1"/>
  <c r="H30" i="12"/>
  <c r="F37" i="12"/>
  <c r="H17" i="12"/>
  <c r="G23" i="12"/>
  <c r="F18" i="12"/>
  <c r="H29" i="12"/>
  <c r="G33" i="12"/>
  <c r="F30" i="12"/>
  <c r="E23" i="12"/>
  <c r="F24" i="12"/>
  <c r="F26" i="12"/>
  <c r="G27" i="12"/>
  <c r="E35" i="12"/>
  <c r="F36" i="12"/>
  <c r="G37" i="12"/>
  <c r="E22" i="12"/>
  <c r="F23" i="12"/>
  <c r="G24" i="12"/>
  <c r="G26" i="12"/>
  <c r="H27" i="12"/>
  <c r="E34" i="12"/>
  <c r="F35" i="12"/>
  <c r="G36" i="12"/>
  <c r="H37" i="12"/>
  <c r="F22" i="12"/>
  <c r="F34" i="12"/>
  <c r="E15" i="12"/>
  <c r="G22" i="12"/>
  <c r="G34" i="12"/>
  <c r="E12" i="12"/>
  <c r="E14" i="12" s="1"/>
  <c r="F15" i="12"/>
  <c r="E17" i="12"/>
  <c r="E29" i="12"/>
  <c r="F12" i="12"/>
  <c r="F14" i="12" s="1"/>
  <c r="F29" i="12"/>
  <c r="H40" i="12" l="1"/>
</calcChain>
</file>

<file path=xl/sharedStrings.xml><?xml version="1.0" encoding="utf-8"?>
<sst xmlns="http://schemas.openxmlformats.org/spreadsheetml/2006/main" count="1001" uniqueCount="106">
  <si>
    <t>RBWM</t>
  </si>
  <si>
    <t xml:space="preserve"> </t>
  </si>
  <si>
    <t>SCALE /</t>
  </si>
  <si>
    <t>BASIC</t>
  </si>
  <si>
    <t xml:space="preserve">TOTAL </t>
  </si>
  <si>
    <t>MONTHLY</t>
  </si>
  <si>
    <t>WEEKLY</t>
  </si>
  <si>
    <t>HOURLY</t>
  </si>
  <si>
    <t>SPINAL</t>
  </si>
  <si>
    <t>SALARY</t>
  </si>
  <si>
    <t>RATE</t>
  </si>
  <si>
    <t>POINT</t>
  </si>
  <si>
    <t>(inc. hol)</t>
  </si>
  <si>
    <t xml:space="preserve">  SCALE 2</t>
  </si>
  <si>
    <t>£</t>
  </si>
  <si>
    <t xml:space="preserve">  SCALE 3</t>
  </si>
  <si>
    <t xml:space="preserve">  SCALE 4</t>
  </si>
  <si>
    <t xml:space="preserve">  SCALE 5</t>
  </si>
  <si>
    <t xml:space="preserve">  SCALE 6</t>
  </si>
  <si>
    <t>Scp 19</t>
  </si>
  <si>
    <t>OFA</t>
  </si>
  <si>
    <t>Hourly</t>
  </si>
  <si>
    <t>Midday Supervisors</t>
  </si>
  <si>
    <t>All casuals are paid same rate, irrespective of car cubic capacity.</t>
  </si>
  <si>
    <t xml:space="preserve">  USER</t>
  </si>
  <si>
    <t xml:space="preserve">     Miles per annum</t>
  </si>
  <si>
    <t>All cc's</t>
  </si>
  <si>
    <t>pence per mile</t>
  </si>
  <si>
    <t>Casual</t>
  </si>
  <si>
    <t>Up to</t>
  </si>
  <si>
    <t>Over</t>
  </si>
  <si>
    <t>MANAGEMENT GRADES 7 &amp; 8</t>
  </si>
  <si>
    <t>With holiday allowance</t>
  </si>
  <si>
    <t>GRADE</t>
  </si>
  <si>
    <t>+13.81%</t>
  </si>
  <si>
    <t xml:space="preserve">MANAGEMENT GRADES </t>
  </si>
  <si>
    <t>Salary range</t>
  </si>
  <si>
    <t>Hourly Rate</t>
  </si>
  <si>
    <t>MIN</t>
  </si>
  <si>
    <t>MAX</t>
  </si>
  <si>
    <t>M1+</t>
  </si>
  <si>
    <t>M1</t>
  </si>
  <si>
    <t>M2</t>
  </si>
  <si>
    <t>M3</t>
  </si>
  <si>
    <t>M4</t>
  </si>
  <si>
    <t>M5</t>
  </si>
  <si>
    <t>M6</t>
  </si>
  <si>
    <r>
      <t>CAR ALLOWANCES</t>
    </r>
    <r>
      <rPr>
        <sz val="8"/>
        <rFont val="Arial"/>
        <family val="2"/>
      </rPr>
      <t xml:space="preserve"> </t>
    </r>
  </si>
  <si>
    <t>Inc Hols</t>
  </si>
  <si>
    <t>Total Annual</t>
  </si>
  <si>
    <t>Schools April 18</t>
  </si>
  <si>
    <t>Schools April 19</t>
  </si>
  <si>
    <t>New pay spine 2019</t>
  </si>
  <si>
    <t>Old pay spine 2018</t>
  </si>
  <si>
    <t>Basic salary</t>
  </si>
  <si>
    <t>Total RBWM salary</t>
  </si>
  <si>
    <t>April 19</t>
  </si>
  <si>
    <t xml:space="preserve">  SCALE 2, a</t>
  </si>
  <si>
    <t xml:space="preserve">  SCALE 2, b</t>
  </si>
  <si>
    <t xml:space="preserve">  SCALE 2, c</t>
  </si>
  <si>
    <t>All casual car users are paid same rate, irrespective of car cubic capacity.</t>
  </si>
  <si>
    <t>2% increase</t>
  </si>
  <si>
    <t xml:space="preserve">2% increase </t>
  </si>
  <si>
    <t>NEW SPINAL</t>
  </si>
  <si>
    <t>NEW PAY SPINE 2019</t>
  </si>
  <si>
    <t>April 18</t>
  </si>
  <si>
    <t>Schools April 20</t>
  </si>
  <si>
    <t>2.75% increase</t>
  </si>
  <si>
    <t>April 20</t>
  </si>
  <si>
    <t xml:space="preserve">2.75% increase </t>
  </si>
  <si>
    <t xml:space="preserve">1.75% increase </t>
  </si>
  <si>
    <t>Schools April 21</t>
  </si>
  <si>
    <t>April 21</t>
  </si>
  <si>
    <t>2.75% increase on point 1 and 1.75% increase on all other points</t>
  </si>
  <si>
    <t>Schools April 22</t>
  </si>
  <si>
    <t>April 22</t>
  </si>
  <si>
    <t>Point 1 to be deleted 1/4/23</t>
  </si>
  <si>
    <t>£1,925 on all pay points and 4.04% on allowances</t>
  </si>
  <si>
    <t>Lunchtime controllers</t>
  </si>
  <si>
    <t>Schools April 23</t>
  </si>
  <si>
    <t>Pay award from 1 April 2023 pending</t>
  </si>
  <si>
    <t>Agreed in Nov 23</t>
  </si>
  <si>
    <t>April 23</t>
  </si>
  <si>
    <t>Pay above £51,515 increased by 3.88%</t>
  </si>
  <si>
    <t>Pay points below £51,515 increased by £1,925</t>
  </si>
  <si>
    <t>NJC</t>
  </si>
  <si>
    <t>RBWM*</t>
  </si>
  <si>
    <t>* includes local integrated allowance of 7.5%</t>
  </si>
  <si>
    <t>Agreed in Oct 2024</t>
  </si>
  <si>
    <t>Schools April 2024</t>
  </si>
  <si>
    <t>Pay points below £52,805 increased by £1,290</t>
  </si>
  <si>
    <t>Pay above £52,805 increased by 2.5%</t>
  </si>
  <si>
    <t>April 2024</t>
  </si>
  <si>
    <t>Schools April 2025</t>
  </si>
  <si>
    <t>April 2025</t>
  </si>
  <si>
    <t>3.2% on all points - Agreed July 25</t>
  </si>
  <si>
    <t>Circular</t>
  </si>
  <si>
    <t>01-Apr-25 per hour</t>
  </si>
  <si>
    <t>01-Apr-25 per annum</t>
  </si>
  <si>
    <t>01-Apr-24 per hour</t>
  </si>
  <si>
    <t>01-Apr-24 per annum</t>
  </si>
  <si>
    <t>SCP</t>
  </si>
  <si>
    <t>Salary</t>
  </si>
  <si>
    <t>3.3% on all points - Agreed Aug 26</t>
  </si>
  <si>
    <t>Schools April 2026</t>
  </si>
  <si>
    <t>April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</si>
</sst>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£&quot;#,##0;\-&quot;£&quot;#,##0"/>
    <numFmt numFmtId="7" formatCode="&quot;£&quot;#,##0.00;\-&quot;£&quot;#,##0.00"/>
    <numFmt numFmtId="43" formatCode="_-* #,##0.00_-;\-* #,##0.00_-;_-* &quot;-&quot;??_-;_-@_-"/>
    <numFmt numFmtId="164" formatCode="#,##0.0000"/>
    <numFmt numFmtId="165" formatCode="_-* #,##0.0000_-;\-* #,##0.0000_-;_-* &quot;-&quot;??_-;_-@_-"/>
    <numFmt numFmtId="166" formatCode="#,##0.0"/>
    <numFmt numFmtId="167" formatCode="&quot;£&quot;#,##0"/>
    <numFmt numFmtId="168" formatCode="&quot;£&quot;#,##0.00"/>
    <numFmt numFmtId="169" formatCode="_-* #,##0_-;\-* #,##0_-;_-* &quot;-&quot;??_-;_-@_-"/>
    <numFmt numFmtId="170" formatCode="&quot;£&quot;#,##0.0000"/>
    <numFmt numFmtId="171" formatCode="0.0000"/>
  </numFmts>
  <fonts count="20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b/>
      <u/>
      <sz val="8"/>
      <name val="Times New Roman"/>
      <family val="1"/>
    </font>
    <font>
      <sz val="8"/>
      <name val="Arial"/>
      <family val="3"/>
    </font>
    <font>
      <b/>
      <sz val="8"/>
      <name val="Arial"/>
      <family val="3"/>
    </font>
    <font>
      <b/>
      <u/>
      <sz val="10"/>
      <name val="Arial"/>
      <family val="2"/>
    </font>
    <font>
      <u val="singleAccounting"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gray125">
        <fgColor indexed="8"/>
        <bgColor indexed="13"/>
      </patternFill>
    </fill>
    <fill>
      <patternFill patternType="gray125">
        <bgColor indexed="9"/>
      </patternFill>
    </fill>
    <fill>
      <patternFill patternType="gray125">
        <fgColor indexed="8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1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7">
    <border>
      <left/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427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2" fillId="0" borderId="1" xfId="0" applyFont="1" applyBorder="1"/>
    <xf numFmtId="165" fontId="2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43" fontId="4" fillId="0" borderId="0" xfId="1" applyFont="1" applyAlignment="1">
      <alignment horizontal="center" wrapText="1"/>
    </xf>
    <xf numFmtId="43" fontId="4" fillId="0" borderId="0" xfId="1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4" fillId="2" borderId="0" xfId="0" applyFont="1" applyFill="1"/>
    <xf numFmtId="0" fontId="4" fillId="0" borderId="2" xfId="0" applyFont="1" applyBorder="1"/>
    <xf numFmtId="10" fontId="5" fillId="0" borderId="3" xfId="0" quotePrefix="1" applyNumberFormat="1" applyFont="1" applyBorder="1"/>
    <xf numFmtId="3" fontId="2" fillId="0" borderId="4" xfId="0" applyNumberFormat="1" applyFont="1" applyBorder="1" applyAlignment="1">
      <alignment horizontal="center" wrapText="1"/>
    </xf>
    <xf numFmtId="0" fontId="4" fillId="0" borderId="5" xfId="0" applyFont="1" applyBorder="1"/>
    <xf numFmtId="43" fontId="4" fillId="0" borderId="0" xfId="1" applyFont="1" applyFill="1" applyAlignment="1">
      <alignment horizontal="center" wrapText="1"/>
    </xf>
    <xf numFmtId="43" fontId="5" fillId="0" borderId="0" xfId="1" applyFont="1" applyAlignment="1">
      <alignment horizontal="center" wrapText="1"/>
    </xf>
    <xf numFmtId="43" fontId="4" fillId="0" borderId="0" xfId="1" applyFont="1" applyAlignment="1">
      <alignment horizontal="right"/>
    </xf>
    <xf numFmtId="43" fontId="4" fillId="0" borderId="6" xfId="1" applyFont="1" applyBorder="1" applyAlignment="1">
      <alignment horizontal="center" wrapText="1"/>
    </xf>
    <xf numFmtId="43" fontId="4" fillId="0" borderId="6" xfId="1" applyFont="1" applyBorder="1" applyAlignment="1">
      <alignment horizontal="right"/>
    </xf>
    <xf numFmtId="0" fontId="4" fillId="0" borderId="4" xfId="0" applyFont="1" applyBorder="1"/>
    <xf numFmtId="169" fontId="4" fillId="0" borderId="0" xfId="1" applyNumberFormat="1" applyFont="1" applyBorder="1" applyAlignment="1">
      <alignment horizontal="center"/>
    </xf>
    <xf numFmtId="0" fontId="4" fillId="0" borderId="7" xfId="0" applyFont="1" applyBorder="1"/>
    <xf numFmtId="169" fontId="4" fillId="0" borderId="0" xfId="1" applyNumberFormat="1" applyFont="1" applyBorder="1" applyAlignment="1">
      <alignment horizontal="center" wrapText="1"/>
    </xf>
    <xf numFmtId="49" fontId="6" fillId="0" borderId="0" xfId="0" quotePrefix="1" applyNumberFormat="1" applyFont="1" applyAlignment="1">
      <alignment horizontal="center"/>
    </xf>
    <xf numFmtId="0" fontId="16" fillId="0" borderId="0" xfId="0" applyFont="1"/>
    <xf numFmtId="3" fontId="7" fillId="0" borderId="0" xfId="0" applyNumberFormat="1" applyFont="1"/>
    <xf numFmtId="3" fontId="6" fillId="0" borderId="0" xfId="0" quotePrefix="1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/>
    </xf>
    <xf numFmtId="3" fontId="8" fillId="0" borderId="0" xfId="0" applyNumberFormat="1" applyFont="1"/>
    <xf numFmtId="0" fontId="1" fillId="3" borderId="8" xfId="0" applyFont="1" applyFill="1" applyBorder="1" applyAlignment="1">
      <alignment horizontal="center"/>
    </xf>
    <xf numFmtId="3" fontId="1" fillId="3" borderId="9" xfId="0" applyNumberFormat="1" applyFont="1" applyFill="1" applyBorder="1" applyAlignment="1">
      <alignment horizontal="center" wrapText="1"/>
    </xf>
    <xf numFmtId="4" fontId="1" fillId="3" borderId="9" xfId="0" applyNumberFormat="1" applyFont="1" applyFill="1" applyBorder="1" applyAlignment="1">
      <alignment horizontal="center" wrapText="1"/>
    </xf>
    <xf numFmtId="4" fontId="1" fillId="3" borderId="10" xfId="0" applyNumberFormat="1" applyFont="1" applyFill="1" applyBorder="1" applyAlignment="1">
      <alignment horizontal="center" wrapText="1"/>
    </xf>
    <xf numFmtId="4" fontId="1" fillId="3" borderId="11" xfId="0" applyNumberFormat="1" applyFont="1" applyFill="1" applyBorder="1" applyAlignment="1">
      <alignment horizontal="center" wrapText="1"/>
    </xf>
    <xf numFmtId="3" fontId="1" fillId="3" borderId="1" xfId="0" applyNumberFormat="1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/>
    </xf>
    <xf numFmtId="3" fontId="1" fillId="3" borderId="12" xfId="0" applyNumberFormat="1" applyFont="1" applyFill="1" applyBorder="1" applyAlignment="1">
      <alignment horizontal="center"/>
    </xf>
    <xf numFmtId="4" fontId="1" fillId="3" borderId="12" xfId="0" applyNumberFormat="1" applyFont="1" applyFill="1" applyBorder="1" applyAlignment="1">
      <alignment horizontal="center"/>
    </xf>
    <xf numFmtId="4" fontId="1" fillId="3" borderId="0" xfId="0" applyNumberFormat="1" applyFont="1" applyFill="1" applyAlignment="1">
      <alignment horizontal="center"/>
    </xf>
    <xf numFmtId="4" fontId="1" fillId="3" borderId="13" xfId="0" applyNumberFormat="1" applyFont="1" applyFill="1" applyBorder="1" applyAlignment="1">
      <alignment horizontal="center"/>
    </xf>
    <xf numFmtId="3" fontId="1" fillId="3" borderId="14" xfId="0" applyNumberFormat="1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3" fontId="1" fillId="3" borderId="16" xfId="0" applyNumberFormat="1" applyFont="1" applyFill="1" applyBorder="1" applyAlignment="1">
      <alignment horizontal="center"/>
    </xf>
    <xf numFmtId="3" fontId="1" fillId="3" borderId="17" xfId="0" applyNumberFormat="1" applyFont="1" applyFill="1" applyBorder="1" applyAlignment="1">
      <alignment horizontal="center"/>
    </xf>
    <xf numFmtId="3" fontId="1" fillId="3" borderId="18" xfId="0" applyNumberFormat="1" applyFont="1" applyFill="1" applyBorder="1" applyAlignment="1">
      <alignment horizontal="center"/>
    </xf>
    <xf numFmtId="3" fontId="2" fillId="0" borderId="14" xfId="0" applyNumberFormat="1" applyFont="1" applyBorder="1" applyAlignment="1">
      <alignment horizontal="center"/>
    </xf>
    <xf numFmtId="0" fontId="9" fillId="4" borderId="4" xfId="0" applyFont="1" applyFill="1" applyBorder="1"/>
    <xf numFmtId="3" fontId="2" fillId="0" borderId="1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13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3" fontId="2" fillId="0" borderId="1" xfId="0" applyNumberFormat="1" applyFont="1" applyBorder="1" applyAlignment="1">
      <alignment horizontal="left"/>
    </xf>
    <xf numFmtId="3" fontId="2" fillId="0" borderId="1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4" fontId="2" fillId="0" borderId="10" xfId="0" applyNumberFormat="1" applyFont="1" applyBorder="1" applyAlignment="1">
      <alignment horizont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9" fillId="4" borderId="15" xfId="0" applyFont="1" applyFill="1" applyBorder="1"/>
    <xf numFmtId="0" fontId="2" fillId="0" borderId="4" xfId="0" applyFont="1" applyBorder="1" applyAlignment="1">
      <alignment horizontal="center"/>
    </xf>
    <xf numFmtId="2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164" fontId="2" fillId="0" borderId="0" xfId="0" applyNumberFormat="1" applyFont="1" applyAlignment="1">
      <alignment horizontal="center" wrapText="1"/>
    </xf>
    <xf numFmtId="3" fontId="2" fillId="0" borderId="0" xfId="0" applyNumberFormat="1" applyFont="1" applyAlignment="1">
      <alignment horizontal="center" wrapText="1"/>
    </xf>
    <xf numFmtId="4" fontId="2" fillId="0" borderId="22" xfId="0" applyNumberFormat="1" applyFont="1" applyBorder="1" applyAlignment="1">
      <alignment horizontal="center" wrapText="1"/>
    </xf>
    <xf numFmtId="3" fontId="2" fillId="5" borderId="23" xfId="0" applyNumberFormat="1" applyFont="1" applyFill="1" applyBorder="1" applyAlignment="1">
      <alignment horizontal="center"/>
    </xf>
    <xf numFmtId="0" fontId="3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3" fontId="2" fillId="0" borderId="0" xfId="0" quotePrefix="1" applyNumberFormat="1" applyFont="1" applyAlignment="1">
      <alignment horizontal="left"/>
    </xf>
    <xf numFmtId="3" fontId="9" fillId="0" borderId="0" xfId="0" applyNumberFormat="1" applyFont="1" applyAlignment="1">
      <alignment horizontal="center"/>
    </xf>
    <xf numFmtId="3" fontId="9" fillId="0" borderId="0" xfId="0" applyNumberFormat="1" applyFont="1"/>
    <xf numFmtId="3" fontId="2" fillId="0" borderId="0" xfId="0" applyNumberFormat="1" applyFont="1"/>
    <xf numFmtId="0" fontId="9" fillId="0" borderId="0" xfId="0" applyFont="1"/>
    <xf numFmtId="0" fontId="2" fillId="0" borderId="0" xfId="0" quotePrefix="1" applyFont="1" applyAlignment="1">
      <alignment horizontal="left"/>
    </xf>
    <xf numFmtId="166" fontId="2" fillId="0" borderId="0" xfId="0" applyNumberFormat="1" applyFont="1" applyAlignment="1">
      <alignment horizontal="center"/>
    </xf>
    <xf numFmtId="0" fontId="9" fillId="6" borderId="8" xfId="0" applyFont="1" applyFill="1" applyBorder="1"/>
    <xf numFmtId="0" fontId="9" fillId="6" borderId="11" xfId="0" applyFont="1" applyFill="1" applyBorder="1" applyAlignment="1">
      <alignment horizontal="left"/>
    </xf>
    <xf numFmtId="3" fontId="9" fillId="6" borderId="9" xfId="0" applyNumberFormat="1" applyFont="1" applyFill="1" applyBorder="1"/>
    <xf numFmtId="3" fontId="9" fillId="6" borderId="8" xfId="0" applyNumberFormat="1" applyFont="1" applyFill="1" applyBorder="1" applyAlignment="1">
      <alignment horizontal="center" wrapText="1"/>
    </xf>
    <xf numFmtId="0" fontId="9" fillId="6" borderId="15" xfId="0" applyFont="1" applyFill="1" applyBorder="1"/>
    <xf numFmtId="0" fontId="9" fillId="6" borderId="24" xfId="0" applyFont="1" applyFill="1" applyBorder="1" applyAlignment="1">
      <alignment horizontal="center"/>
    </xf>
    <xf numFmtId="3" fontId="9" fillId="6" borderId="16" xfId="0" applyNumberFormat="1" applyFont="1" applyFill="1" applyBorder="1"/>
    <xf numFmtId="3" fontId="9" fillId="6" borderId="15" xfId="0" applyNumberFormat="1" applyFont="1" applyFill="1" applyBorder="1" applyAlignment="1">
      <alignment horizontal="center" wrapText="1"/>
    </xf>
    <xf numFmtId="3" fontId="2" fillId="0" borderId="25" xfId="0" applyNumberFormat="1" applyFont="1" applyBorder="1" applyAlignment="1">
      <alignment horizontal="center"/>
    </xf>
    <xf numFmtId="0" fontId="9" fillId="6" borderId="4" xfId="0" applyFont="1" applyFill="1" applyBorder="1"/>
    <xf numFmtId="0" fontId="2" fillId="0" borderId="25" xfId="0" quotePrefix="1" applyFont="1" applyBorder="1" applyAlignment="1">
      <alignment horizontal="center"/>
    </xf>
    <xf numFmtId="3" fontId="2" fillId="0" borderId="26" xfId="0" quotePrefix="1" applyNumberFormat="1" applyFont="1" applyBorder="1" applyAlignment="1">
      <alignment horizontal="left" wrapText="1"/>
    </xf>
    <xf numFmtId="166" fontId="2" fillId="0" borderId="4" xfId="0" applyNumberFormat="1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166" fontId="2" fillId="0" borderId="15" xfId="0" applyNumberFormat="1" applyFont="1" applyBorder="1" applyAlignment="1">
      <alignment horizontal="center"/>
    </xf>
    <xf numFmtId="43" fontId="2" fillId="0" borderId="0" xfId="1" applyFont="1" applyAlignment="1">
      <alignment horizontal="center" wrapText="1"/>
    </xf>
    <xf numFmtId="0" fontId="9" fillId="7" borderId="27" xfId="0" quotePrefix="1" applyFont="1" applyFill="1" applyBorder="1" applyAlignment="1">
      <alignment horizontal="left"/>
    </xf>
    <xf numFmtId="0" fontId="9" fillId="8" borderId="25" xfId="0" applyFont="1" applyFill="1" applyBorder="1" applyAlignment="1">
      <alignment horizontal="center"/>
    </xf>
    <xf numFmtId="3" fontId="9" fillId="7" borderId="25" xfId="0" applyNumberFormat="1" applyFont="1" applyFill="1" applyBorder="1"/>
    <xf numFmtId="43" fontId="2" fillId="2" borderId="26" xfId="1" applyFont="1" applyFill="1" applyBorder="1" applyAlignment="1" applyProtection="1">
      <alignment horizontal="center"/>
    </xf>
    <xf numFmtId="43" fontId="2" fillId="0" borderId="0" xfId="1" applyFont="1" applyAlignment="1" applyProtection="1">
      <alignment horizontal="right"/>
    </xf>
    <xf numFmtId="49" fontId="1" fillId="2" borderId="0" xfId="0" applyNumberFormat="1" applyFont="1" applyFill="1" applyAlignment="1">
      <alignment horizontal="left" wrapText="1"/>
    </xf>
    <xf numFmtId="0" fontId="2" fillId="0" borderId="0" xfId="0" applyFont="1" applyAlignment="1">
      <alignment horizontal="left"/>
    </xf>
    <xf numFmtId="43" fontId="2" fillId="0" borderId="0" xfId="1" applyFont="1" applyAlignment="1" applyProtection="1">
      <alignment horizontal="center"/>
    </xf>
    <xf numFmtId="43" fontId="2" fillId="0" borderId="0" xfId="1" applyFont="1" applyAlignment="1" applyProtection="1">
      <alignment horizontal="center" wrapText="1"/>
    </xf>
    <xf numFmtId="4" fontId="1" fillId="3" borderId="2" xfId="0" applyNumberFormat="1" applyFont="1" applyFill="1" applyBorder="1" applyAlignment="1">
      <alignment horizontal="center" wrapText="1"/>
    </xf>
    <xf numFmtId="4" fontId="1" fillId="3" borderId="3" xfId="0" applyNumberFormat="1" applyFont="1" applyFill="1" applyBorder="1" applyAlignment="1">
      <alignment horizontal="center"/>
    </xf>
    <xf numFmtId="43" fontId="2" fillId="0" borderId="0" xfId="1" applyFont="1" applyBorder="1"/>
    <xf numFmtId="3" fontId="1" fillId="3" borderId="5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wrapText="1"/>
    </xf>
    <xf numFmtId="0" fontId="2" fillId="0" borderId="26" xfId="0" applyFont="1" applyBorder="1" applyAlignment="1">
      <alignment horizontal="center"/>
    </xf>
    <xf numFmtId="0" fontId="2" fillId="0" borderId="12" xfId="0" applyFont="1" applyBorder="1"/>
    <xf numFmtId="0" fontId="2" fillId="0" borderId="16" xfId="0" applyFont="1" applyBorder="1" applyAlignment="1">
      <alignment horizontal="center"/>
    </xf>
    <xf numFmtId="3" fontId="2" fillId="0" borderId="10" xfId="0" applyNumberFormat="1" applyFont="1" applyBorder="1" applyAlignment="1">
      <alignment horizontal="center" wrapText="1"/>
    </xf>
    <xf numFmtId="0" fontId="9" fillId="3" borderId="0" xfId="0" quotePrefix="1" applyFont="1" applyFill="1" applyAlignment="1">
      <alignment horizontal="center" wrapText="1"/>
    </xf>
    <xf numFmtId="43" fontId="2" fillId="0" borderId="0" xfId="1" applyFont="1" applyBorder="1" applyAlignment="1" applyProtection="1">
      <alignment horizontal="center" wrapText="1"/>
    </xf>
    <xf numFmtId="43" fontId="2" fillId="0" borderId="0" xfId="1" applyFont="1" applyBorder="1" applyAlignment="1" applyProtection="1">
      <alignment horizontal="right" wrapText="1"/>
    </xf>
    <xf numFmtId="49" fontId="1" fillId="0" borderId="0" xfId="0" applyNumberFormat="1" applyFont="1" applyAlignment="1">
      <alignment horizontal="left" wrapText="1"/>
    </xf>
    <xf numFmtId="3" fontId="4" fillId="0" borderId="0" xfId="0" applyNumberFormat="1" applyFont="1" applyAlignment="1">
      <alignment horizontal="center" wrapText="1"/>
    </xf>
    <xf numFmtId="43" fontId="4" fillId="0" borderId="0" xfId="1" applyFont="1" applyBorder="1" applyAlignment="1" applyProtection="1">
      <alignment horizontal="right" wrapText="1"/>
    </xf>
    <xf numFmtId="43" fontId="5" fillId="0" borderId="0" xfId="1" applyFont="1" applyBorder="1" applyAlignment="1" applyProtection="1">
      <alignment horizontal="center"/>
    </xf>
    <xf numFmtId="0" fontId="10" fillId="2" borderId="0" xfId="0" applyFont="1" applyFill="1"/>
    <xf numFmtId="0" fontId="4" fillId="2" borderId="0" xfId="0" applyFont="1" applyFill="1" applyAlignment="1">
      <alignment horizontal="left"/>
    </xf>
    <xf numFmtId="3" fontId="4" fillId="2" borderId="0" xfId="0" applyNumberFormat="1" applyFont="1" applyFill="1" applyAlignment="1">
      <alignment horizontal="center"/>
    </xf>
    <xf numFmtId="17" fontId="11" fillId="2" borderId="0" xfId="1" applyNumberFormat="1" applyFont="1" applyFill="1" applyAlignment="1" applyProtection="1">
      <alignment horizontal="center"/>
    </xf>
    <xf numFmtId="43" fontId="4" fillId="0" borderId="0" xfId="1" quotePrefix="1" applyFont="1" applyAlignment="1" applyProtection="1">
      <alignment horizontal="right"/>
    </xf>
    <xf numFmtId="0" fontId="10" fillId="0" borderId="0" xfId="0" applyFont="1"/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center"/>
    </xf>
    <xf numFmtId="3" fontId="4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left"/>
    </xf>
    <xf numFmtId="4" fontId="4" fillId="0" borderId="0" xfId="0" applyNumberFormat="1" applyFont="1" applyAlignment="1">
      <alignment horizontal="center" wrapText="1"/>
    </xf>
    <xf numFmtId="43" fontId="2" fillId="0" borderId="0" xfId="1" applyFont="1"/>
    <xf numFmtId="0" fontId="5" fillId="6" borderId="4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4" fillId="0" borderId="8" xfId="0" applyFont="1" applyBorder="1"/>
    <xf numFmtId="3" fontId="4" fillId="0" borderId="8" xfId="0" applyNumberFormat="1" applyFont="1" applyBorder="1" applyAlignment="1">
      <alignment horizontal="center"/>
    </xf>
    <xf numFmtId="3" fontId="4" fillId="0" borderId="28" xfId="0" applyNumberFormat="1" applyFont="1" applyBorder="1" applyAlignment="1">
      <alignment horizontal="center" wrapText="1"/>
    </xf>
    <xf numFmtId="0" fontId="5" fillId="1" borderId="8" xfId="0" applyFont="1" applyFill="1" applyBorder="1" applyAlignment="1">
      <alignment horizontal="center" wrapText="1"/>
    </xf>
    <xf numFmtId="169" fontId="4" fillId="0" borderId="0" xfId="1" applyNumberFormat="1" applyFont="1" applyBorder="1" applyAlignment="1" applyProtection="1">
      <alignment horizontal="center" wrapText="1"/>
    </xf>
    <xf numFmtId="169" fontId="4" fillId="0" borderId="0" xfId="1" applyNumberFormat="1" applyFont="1" applyBorder="1" applyAlignment="1" applyProtection="1">
      <alignment horizontal="center"/>
    </xf>
    <xf numFmtId="43" fontId="2" fillId="0" borderId="0" xfId="1" applyFont="1" applyBorder="1" applyAlignment="1">
      <alignment horizontal="center" wrapText="1"/>
    </xf>
    <xf numFmtId="1" fontId="16" fillId="0" borderId="0" xfId="0" applyNumberFormat="1" applyFont="1"/>
    <xf numFmtId="0" fontId="2" fillId="0" borderId="6" xfId="0" applyFont="1" applyBorder="1"/>
    <xf numFmtId="3" fontId="12" fillId="0" borderId="0" xfId="0" applyNumberFormat="1" applyFont="1"/>
    <xf numFmtId="49" fontId="13" fillId="0" borderId="0" xfId="0" quotePrefix="1" applyNumberFormat="1" applyFont="1" applyAlignment="1">
      <alignment horizontal="center"/>
    </xf>
    <xf numFmtId="43" fontId="16" fillId="0" borderId="0" xfId="1" applyFont="1"/>
    <xf numFmtId="168" fontId="2" fillId="0" borderId="26" xfId="0" applyNumberFormat="1" applyFont="1" applyBorder="1" applyAlignment="1">
      <alignment horizontal="center" wrapText="1"/>
    </xf>
    <xf numFmtId="168" fontId="2" fillId="0" borderId="25" xfId="0" applyNumberFormat="1" applyFont="1" applyBorder="1" applyAlignment="1">
      <alignment horizontal="center" wrapText="1"/>
    </xf>
    <xf numFmtId="168" fontId="2" fillId="0" borderId="29" xfId="0" applyNumberFormat="1" applyFont="1" applyBorder="1" applyAlignment="1">
      <alignment horizontal="center" wrapText="1"/>
    </xf>
    <xf numFmtId="168" fontId="2" fillId="0" borderId="10" xfId="0" applyNumberFormat="1" applyFont="1" applyBorder="1" applyAlignment="1">
      <alignment horizontal="center" wrapText="1"/>
    </xf>
    <xf numFmtId="168" fontId="2" fillId="0" borderId="30" xfId="0" applyNumberFormat="1" applyFont="1" applyBorder="1" applyAlignment="1">
      <alignment horizontal="center" wrapText="1"/>
    </xf>
    <xf numFmtId="168" fontId="2" fillId="0" borderId="31" xfId="0" applyNumberFormat="1" applyFont="1" applyBorder="1" applyAlignment="1">
      <alignment horizontal="center" wrapText="1"/>
    </xf>
    <xf numFmtId="168" fontId="2" fillId="0" borderId="32" xfId="0" applyNumberFormat="1" applyFont="1" applyBorder="1" applyAlignment="1">
      <alignment horizontal="center" wrapText="1"/>
    </xf>
    <xf numFmtId="168" fontId="2" fillId="0" borderId="33" xfId="0" applyNumberFormat="1" applyFont="1" applyBorder="1" applyAlignment="1">
      <alignment horizontal="center" wrapText="1"/>
    </xf>
    <xf numFmtId="168" fontId="2" fillId="0" borderId="34" xfId="0" applyNumberFormat="1" applyFont="1" applyBorder="1" applyAlignment="1">
      <alignment horizontal="center" wrapText="1"/>
    </xf>
    <xf numFmtId="168" fontId="2" fillId="0" borderId="18" xfId="0" applyNumberFormat="1" applyFont="1" applyBorder="1" applyAlignment="1">
      <alignment horizontal="center" wrapText="1"/>
    </xf>
    <xf numFmtId="168" fontId="2" fillId="0" borderId="35" xfId="0" applyNumberFormat="1" applyFont="1" applyBorder="1" applyAlignment="1">
      <alignment horizontal="center" wrapText="1"/>
    </xf>
    <xf numFmtId="168" fontId="2" fillId="0" borderId="36" xfId="0" applyNumberFormat="1" applyFont="1" applyBorder="1" applyAlignment="1">
      <alignment horizontal="center" wrapText="1"/>
    </xf>
    <xf numFmtId="168" fontId="2" fillId="0" borderId="37" xfId="0" applyNumberFormat="1" applyFont="1" applyBorder="1" applyAlignment="1">
      <alignment horizontal="center" wrapText="1"/>
    </xf>
    <xf numFmtId="170" fontId="2" fillId="0" borderId="22" xfId="0" applyNumberFormat="1" applyFont="1" applyBorder="1" applyAlignment="1">
      <alignment horizontal="center" wrapText="1"/>
    </xf>
    <xf numFmtId="170" fontId="2" fillId="0" borderId="38" xfId="0" applyNumberFormat="1" applyFont="1" applyBorder="1" applyAlignment="1">
      <alignment horizontal="center" wrapText="1"/>
    </xf>
    <xf numFmtId="170" fontId="2" fillId="0" borderId="39" xfId="0" applyNumberFormat="1" applyFont="1" applyBorder="1" applyAlignment="1">
      <alignment horizontal="center" wrapText="1"/>
    </xf>
    <xf numFmtId="170" fontId="2" fillId="0" borderId="40" xfId="0" applyNumberFormat="1" applyFont="1" applyBorder="1" applyAlignment="1">
      <alignment horizontal="center" wrapText="1"/>
    </xf>
    <xf numFmtId="170" fontId="2" fillId="0" borderId="41" xfId="0" applyNumberFormat="1" applyFont="1" applyBorder="1" applyAlignment="1">
      <alignment horizontal="center" wrapText="1"/>
    </xf>
    <xf numFmtId="170" fontId="2" fillId="0" borderId="42" xfId="0" applyNumberFormat="1" applyFont="1" applyBorder="1" applyAlignment="1">
      <alignment horizontal="center" wrapText="1"/>
    </xf>
    <xf numFmtId="170" fontId="2" fillId="0" borderId="43" xfId="0" applyNumberFormat="1" applyFont="1" applyBorder="1" applyAlignment="1">
      <alignment horizontal="center" wrapText="1"/>
    </xf>
    <xf numFmtId="170" fontId="2" fillId="0" borderId="44" xfId="0" applyNumberFormat="1" applyFont="1" applyBorder="1" applyAlignment="1">
      <alignment horizontal="center" wrapText="1"/>
    </xf>
    <xf numFmtId="170" fontId="2" fillId="0" borderId="45" xfId="0" applyNumberFormat="1" applyFont="1" applyBorder="1" applyAlignment="1">
      <alignment horizontal="center" wrapText="1"/>
    </xf>
    <xf numFmtId="170" fontId="2" fillId="0" borderId="46" xfId="0" applyNumberFormat="1" applyFont="1" applyBorder="1" applyAlignment="1">
      <alignment horizontal="center" wrapText="1"/>
    </xf>
    <xf numFmtId="170" fontId="2" fillId="0" borderId="47" xfId="0" applyNumberFormat="1" applyFont="1" applyBorder="1" applyAlignment="1">
      <alignment horizontal="center" wrapText="1"/>
    </xf>
    <xf numFmtId="170" fontId="2" fillId="0" borderId="48" xfId="0" applyNumberFormat="1" applyFont="1" applyBorder="1" applyAlignment="1">
      <alignment horizontal="center" wrapText="1"/>
    </xf>
    <xf numFmtId="170" fontId="2" fillId="0" borderId="49" xfId="0" applyNumberFormat="1" applyFont="1" applyBorder="1" applyAlignment="1">
      <alignment horizontal="center" wrapText="1"/>
    </xf>
    <xf numFmtId="170" fontId="2" fillId="0" borderId="50" xfId="0" applyNumberFormat="1" applyFont="1" applyBorder="1" applyAlignment="1">
      <alignment horizontal="center" wrapText="1"/>
    </xf>
    <xf numFmtId="167" fontId="2" fillId="0" borderId="26" xfId="0" applyNumberFormat="1" applyFont="1" applyBorder="1" applyAlignment="1">
      <alignment horizontal="center" wrapText="1"/>
    </xf>
    <xf numFmtId="167" fontId="2" fillId="0" borderId="4" xfId="0" applyNumberFormat="1" applyFont="1" applyBorder="1" applyAlignment="1">
      <alignment horizontal="center" wrapText="1"/>
    </xf>
    <xf numFmtId="167" fontId="2" fillId="0" borderId="8" xfId="0" applyNumberFormat="1" applyFont="1" applyBorder="1" applyAlignment="1">
      <alignment horizontal="center" wrapText="1"/>
    </xf>
    <xf numFmtId="167" fontId="2" fillId="0" borderId="21" xfId="0" applyNumberFormat="1" applyFont="1" applyBorder="1" applyAlignment="1">
      <alignment horizontal="center" wrapText="1"/>
    </xf>
    <xf numFmtId="167" fontId="2" fillId="0" borderId="19" xfId="0" applyNumberFormat="1" applyFont="1" applyBorder="1" applyAlignment="1">
      <alignment horizontal="center" wrapText="1"/>
    </xf>
    <xf numFmtId="167" fontId="2" fillId="0" borderId="16" xfId="0" applyNumberFormat="1" applyFont="1" applyBorder="1" applyAlignment="1">
      <alignment horizontal="center" wrapText="1"/>
    </xf>
    <xf numFmtId="167" fontId="2" fillId="0" borderId="20" xfId="0" applyNumberFormat="1" applyFont="1" applyBorder="1" applyAlignment="1">
      <alignment horizontal="center" wrapText="1"/>
    </xf>
    <xf numFmtId="167" fontId="2" fillId="0" borderId="51" xfId="0" applyNumberFormat="1" applyFont="1" applyBorder="1" applyAlignment="1">
      <alignment horizontal="center" wrapText="1"/>
    </xf>
    <xf numFmtId="167" fontId="2" fillId="0" borderId="15" xfId="0" applyNumberFormat="1" applyFont="1" applyBorder="1" applyAlignment="1">
      <alignment horizontal="center" wrapText="1"/>
    </xf>
    <xf numFmtId="167" fontId="2" fillId="0" borderId="0" xfId="0" applyNumberFormat="1" applyFont="1"/>
    <xf numFmtId="5" fontId="4" fillId="0" borderId="8" xfId="1" applyNumberFormat="1" applyFont="1" applyBorder="1" applyAlignment="1" applyProtection="1">
      <alignment horizontal="center"/>
    </xf>
    <xf numFmtId="5" fontId="4" fillId="0" borderId="52" xfId="1" applyNumberFormat="1" applyFont="1" applyBorder="1" applyAlignment="1" applyProtection="1">
      <alignment horizontal="center"/>
    </xf>
    <xf numFmtId="5" fontId="4" fillId="0" borderId="38" xfId="1" applyNumberFormat="1" applyFont="1" applyBorder="1" applyAlignment="1" applyProtection="1">
      <alignment horizontal="center"/>
    </xf>
    <xf numFmtId="5" fontId="2" fillId="0" borderId="2" xfId="1" applyNumberFormat="1" applyFont="1" applyBorder="1" applyAlignment="1">
      <alignment wrapText="1"/>
    </xf>
    <xf numFmtId="5" fontId="2" fillId="0" borderId="3" xfId="1" applyNumberFormat="1" applyFont="1" applyBorder="1" applyAlignment="1">
      <alignment wrapText="1"/>
    </xf>
    <xf numFmtId="5" fontId="2" fillId="0" borderId="5" xfId="1" applyNumberFormat="1" applyFont="1" applyBorder="1" applyAlignment="1">
      <alignment wrapText="1"/>
    </xf>
    <xf numFmtId="0" fontId="2" fillId="5" borderId="6" xfId="0" applyFont="1" applyFill="1" applyBorder="1" applyAlignment="1">
      <alignment horizontal="center"/>
    </xf>
    <xf numFmtId="3" fontId="2" fillId="5" borderId="6" xfId="0" applyNumberFormat="1" applyFont="1" applyFill="1" applyBorder="1" applyAlignment="1">
      <alignment horizontal="center"/>
    </xf>
    <xf numFmtId="3" fontId="2" fillId="0" borderId="6" xfId="0" applyNumberFormat="1" applyFont="1" applyBorder="1" applyAlignment="1">
      <alignment horizontal="center" wrapText="1"/>
    </xf>
    <xf numFmtId="5" fontId="2" fillId="0" borderId="6" xfId="1" applyNumberFormat="1" applyFont="1" applyBorder="1" applyAlignment="1">
      <alignment wrapText="1"/>
    </xf>
    <xf numFmtId="7" fontId="2" fillId="0" borderId="6" xfId="0" applyNumberFormat="1" applyFont="1" applyBorder="1"/>
    <xf numFmtId="170" fontId="2" fillId="0" borderId="6" xfId="0" applyNumberFormat="1" applyFont="1" applyBorder="1"/>
    <xf numFmtId="170" fontId="2" fillId="0" borderId="6" xfId="0" applyNumberFormat="1" applyFont="1" applyBorder="1" applyAlignment="1">
      <alignment vertical="center"/>
    </xf>
    <xf numFmtId="9" fontId="16" fillId="0" borderId="0" xfId="0" applyNumberFormat="1" applyFont="1"/>
    <xf numFmtId="3" fontId="16" fillId="0" borderId="0" xfId="0" applyNumberFormat="1" applyFont="1" applyAlignment="1">
      <alignment vertical="top" wrapText="1"/>
    </xf>
    <xf numFmtId="167" fontId="16" fillId="0" borderId="0" xfId="0" applyNumberFormat="1" applyFont="1"/>
    <xf numFmtId="167" fontId="16" fillId="0" borderId="0" xfId="1" applyNumberFormat="1" applyFont="1" applyFill="1"/>
    <xf numFmtId="0" fontId="1" fillId="0" borderId="8" xfId="0" applyFont="1" applyBorder="1" applyAlignment="1">
      <alignment horizontal="center"/>
    </xf>
    <xf numFmtId="3" fontId="1" fillId="0" borderId="9" xfId="0" applyNumberFormat="1" applyFont="1" applyBorder="1" applyAlignment="1">
      <alignment horizontal="center" wrapText="1"/>
    </xf>
    <xf numFmtId="4" fontId="1" fillId="0" borderId="10" xfId="0" applyNumberFormat="1" applyFont="1" applyBorder="1" applyAlignment="1">
      <alignment horizontal="center" wrapText="1"/>
    </xf>
    <xf numFmtId="4" fontId="1" fillId="0" borderId="2" xfId="0" applyNumberFormat="1" applyFont="1" applyBorder="1" applyAlignment="1">
      <alignment horizontal="center" wrapText="1"/>
    </xf>
    <xf numFmtId="0" fontId="9" fillId="0" borderId="7" xfId="0" applyFont="1" applyBorder="1" applyAlignment="1">
      <alignment horizontal="center"/>
    </xf>
    <xf numFmtId="3" fontId="1" fillId="0" borderId="12" xfId="0" applyNumberFormat="1" applyFont="1" applyBorder="1" applyAlignment="1">
      <alignment horizontal="center"/>
    </xf>
    <xf numFmtId="4" fontId="1" fillId="0" borderId="12" xfId="0" applyNumberFormat="1" applyFont="1" applyBorder="1" applyAlignment="1">
      <alignment horizontal="center"/>
    </xf>
    <xf numFmtId="4" fontId="1" fillId="0" borderId="0" xfId="0" applyNumberFormat="1" applyFont="1" applyAlignment="1">
      <alignment horizontal="center"/>
    </xf>
    <xf numFmtId="4" fontId="1" fillId="0" borderId="3" xfId="0" applyNumberFormat="1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3" fontId="1" fillId="0" borderId="16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0" fontId="9" fillId="0" borderId="4" xfId="0" applyFont="1" applyBorder="1"/>
    <xf numFmtId="3" fontId="16" fillId="0" borderId="6" xfId="0" applyNumberFormat="1" applyFont="1" applyBorder="1" applyAlignment="1">
      <alignment vertical="top" wrapText="1"/>
    </xf>
    <xf numFmtId="167" fontId="16" fillId="0" borderId="6" xfId="0" applyNumberFormat="1" applyFont="1" applyBorder="1"/>
    <xf numFmtId="167" fontId="16" fillId="0" borderId="6" xfId="1" applyNumberFormat="1" applyFont="1" applyFill="1" applyBorder="1"/>
    <xf numFmtId="168" fontId="16" fillId="0" borderId="6" xfId="1" applyNumberFormat="1" applyFont="1" applyFill="1" applyBorder="1"/>
    <xf numFmtId="168" fontId="16" fillId="0" borderId="6" xfId="0" applyNumberFormat="1" applyFont="1" applyBorder="1"/>
    <xf numFmtId="170" fontId="16" fillId="0" borderId="6" xfId="0" applyNumberFormat="1" applyFont="1" applyBorder="1"/>
    <xf numFmtId="0" fontId="9" fillId="0" borderId="15" xfId="0" applyFont="1" applyBorder="1"/>
    <xf numFmtId="0" fontId="2" fillId="0" borderId="7" xfId="0" applyFont="1" applyBorder="1" applyAlignment="1">
      <alignment horizontal="center"/>
    </xf>
    <xf numFmtId="167" fontId="2" fillId="0" borderId="9" xfId="0" applyNumberFormat="1" applyFont="1" applyBorder="1" applyAlignment="1">
      <alignment horizontal="center" wrapText="1"/>
    </xf>
    <xf numFmtId="0" fontId="9" fillId="0" borderId="8" xfId="0" applyFont="1" applyBorder="1"/>
    <xf numFmtId="167" fontId="2" fillId="0" borderId="7" xfId="0" applyNumberFormat="1" applyFont="1" applyBorder="1" applyAlignment="1">
      <alignment horizontal="center" wrapText="1"/>
    </xf>
    <xf numFmtId="168" fontId="2" fillId="0" borderId="0" xfId="0" applyNumberFormat="1" applyFont="1" applyAlignment="1">
      <alignment horizontal="center" wrapText="1"/>
    </xf>
    <xf numFmtId="168" fontId="2" fillId="0" borderId="53" xfId="0" applyNumberFormat="1" applyFont="1" applyBorder="1" applyAlignment="1">
      <alignment horizontal="center" wrapText="1"/>
    </xf>
    <xf numFmtId="170" fontId="2" fillId="0" borderId="0" xfId="0" applyNumberFormat="1" applyFont="1" applyAlignment="1">
      <alignment horizontal="center" wrapText="1"/>
    </xf>
    <xf numFmtId="3" fontId="2" fillId="0" borderId="0" xfId="0" applyNumberFormat="1" applyFont="1" applyAlignment="1">
      <alignment vertical="top" wrapText="1"/>
    </xf>
    <xf numFmtId="167" fontId="2" fillId="0" borderId="0" xfId="1" applyNumberFormat="1" applyFont="1" applyFill="1"/>
    <xf numFmtId="0" fontId="2" fillId="0" borderId="6" xfId="0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2" fillId="0" borderId="23" xfId="0" applyNumberFormat="1" applyFont="1" applyBorder="1" applyAlignment="1">
      <alignment horizontal="center"/>
    </xf>
    <xf numFmtId="5" fontId="2" fillId="0" borderId="6" xfId="1" applyNumberFormat="1" applyFont="1" applyFill="1" applyBorder="1" applyAlignment="1">
      <alignment wrapText="1"/>
    </xf>
    <xf numFmtId="0" fontId="9" fillId="0" borderId="11" xfId="0" applyFont="1" applyBorder="1" applyAlignment="1">
      <alignment horizontal="left"/>
    </xf>
    <xf numFmtId="3" fontId="9" fillId="0" borderId="9" xfId="0" applyNumberFormat="1" applyFont="1" applyBorder="1"/>
    <xf numFmtId="3" fontId="9" fillId="0" borderId="8" xfId="0" applyNumberFormat="1" applyFont="1" applyBorder="1" applyAlignment="1">
      <alignment horizontal="center" wrapText="1"/>
    </xf>
    <xf numFmtId="0" fontId="9" fillId="0" borderId="24" xfId="0" applyFont="1" applyBorder="1" applyAlignment="1">
      <alignment horizontal="center"/>
    </xf>
    <xf numFmtId="3" fontId="9" fillId="0" borderId="16" xfId="0" applyNumberFormat="1" applyFont="1" applyBorder="1"/>
    <xf numFmtId="3" fontId="9" fillId="0" borderId="15" xfId="0" applyNumberFormat="1" applyFont="1" applyBorder="1" applyAlignment="1">
      <alignment horizontal="center" wrapText="1"/>
    </xf>
    <xf numFmtId="43" fontId="4" fillId="0" borderId="0" xfId="1" applyFont="1" applyFill="1" applyAlignment="1">
      <alignment horizontal="right" wrapText="1"/>
    </xf>
    <xf numFmtId="43" fontId="2" fillId="0" borderId="0" xfId="1" applyFont="1" applyFill="1" applyAlignment="1">
      <alignment horizontal="center" wrapText="1"/>
    </xf>
    <xf numFmtId="0" fontId="5" fillId="0" borderId="0" xfId="0" applyFont="1"/>
    <xf numFmtId="3" fontId="1" fillId="0" borderId="0" xfId="0" applyNumberFormat="1" applyFont="1" applyAlignment="1">
      <alignment horizontal="left"/>
    </xf>
    <xf numFmtId="43" fontId="2" fillId="0" borderId="0" xfId="1" applyFont="1" applyFill="1" applyAlignment="1" applyProtection="1">
      <alignment horizontal="right"/>
    </xf>
    <xf numFmtId="43" fontId="2" fillId="0" borderId="0" xfId="1" applyFont="1" applyFill="1" applyAlignment="1" applyProtection="1">
      <alignment horizontal="center"/>
    </xf>
    <xf numFmtId="43" fontId="2" fillId="0" borderId="0" xfId="1" applyFont="1" applyFill="1" applyAlignment="1" applyProtection="1">
      <alignment horizontal="center" wrapText="1"/>
    </xf>
    <xf numFmtId="43" fontId="2" fillId="0" borderId="0" xfId="1" applyFont="1" applyFill="1" applyBorder="1"/>
    <xf numFmtId="0" fontId="9" fillId="0" borderId="4" xfId="0" applyFont="1" applyBorder="1" applyAlignment="1">
      <alignment horizontal="center" wrapText="1"/>
    </xf>
    <xf numFmtId="5" fontId="2" fillId="0" borderId="2" xfId="1" applyNumberFormat="1" applyFont="1" applyFill="1" applyBorder="1" applyAlignment="1">
      <alignment wrapText="1"/>
    </xf>
    <xf numFmtId="5" fontId="2" fillId="0" borderId="3" xfId="1" applyNumberFormat="1" applyFont="1" applyFill="1" applyBorder="1" applyAlignment="1">
      <alignment wrapText="1"/>
    </xf>
    <xf numFmtId="5" fontId="2" fillId="0" borderId="5" xfId="1" applyNumberFormat="1" applyFont="1" applyFill="1" applyBorder="1" applyAlignment="1">
      <alignment wrapText="1"/>
    </xf>
    <xf numFmtId="0" fontId="9" fillId="0" borderId="0" xfId="0" quotePrefix="1" applyFont="1" applyAlignment="1">
      <alignment horizontal="center" wrapText="1"/>
    </xf>
    <xf numFmtId="43" fontId="2" fillId="0" borderId="0" xfId="1" applyFont="1" applyFill="1" applyBorder="1" applyAlignment="1" applyProtection="1">
      <alignment horizontal="center" wrapText="1"/>
    </xf>
    <xf numFmtId="43" fontId="2" fillId="0" borderId="0" xfId="1" applyFont="1" applyFill="1" applyBorder="1" applyAlignment="1" applyProtection="1">
      <alignment horizontal="right" wrapText="1"/>
    </xf>
    <xf numFmtId="43" fontId="4" fillId="0" borderId="0" xfId="1" applyFont="1" applyFill="1" applyBorder="1" applyAlignment="1" applyProtection="1">
      <alignment horizontal="right" wrapText="1"/>
    </xf>
    <xf numFmtId="43" fontId="5" fillId="0" borderId="0" xfId="1" applyFont="1" applyFill="1" applyBorder="1" applyAlignment="1" applyProtection="1">
      <alignment horizontal="center"/>
    </xf>
    <xf numFmtId="43" fontId="4" fillId="0" borderId="0" xfId="1" quotePrefix="1" applyFont="1" applyFill="1" applyAlignment="1" applyProtection="1">
      <alignment horizontal="right"/>
    </xf>
    <xf numFmtId="43" fontId="2" fillId="0" borderId="0" xfId="1" applyFont="1" applyFill="1"/>
    <xf numFmtId="0" fontId="5" fillId="0" borderId="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43" fontId="4" fillId="0" borderId="6" xfId="1" applyFont="1" applyFill="1" applyBorder="1" applyAlignment="1">
      <alignment horizontal="center" wrapText="1"/>
    </xf>
    <xf numFmtId="43" fontId="4" fillId="0" borderId="6" xfId="1" applyFont="1" applyFill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5" fontId="4" fillId="0" borderId="8" xfId="1" applyNumberFormat="1" applyFont="1" applyFill="1" applyBorder="1" applyAlignment="1" applyProtection="1">
      <alignment horizontal="center"/>
    </xf>
    <xf numFmtId="169" fontId="4" fillId="0" borderId="0" xfId="1" applyNumberFormat="1" applyFont="1" applyFill="1" applyBorder="1" applyAlignment="1" applyProtection="1">
      <alignment horizontal="center" wrapText="1"/>
    </xf>
    <xf numFmtId="3" fontId="16" fillId="0" borderId="0" xfId="1" applyNumberFormat="1" applyFont="1" applyFill="1" applyAlignment="1">
      <alignment vertical="top" wrapText="1"/>
    </xf>
    <xf numFmtId="169" fontId="4" fillId="0" borderId="0" xfId="1" applyNumberFormat="1" applyFont="1" applyFill="1" applyBorder="1" applyAlignment="1" applyProtection="1">
      <alignment horizontal="center"/>
    </xf>
    <xf numFmtId="169" fontId="4" fillId="0" borderId="0" xfId="1" applyNumberFormat="1" applyFont="1" applyFill="1" applyBorder="1" applyAlignment="1">
      <alignment horizontal="center"/>
    </xf>
    <xf numFmtId="169" fontId="4" fillId="0" borderId="0" xfId="1" applyNumberFormat="1" applyFont="1" applyFill="1" applyBorder="1" applyAlignment="1">
      <alignment horizontal="center" wrapText="1"/>
    </xf>
    <xf numFmtId="5" fontId="4" fillId="0" borderId="52" xfId="1" applyNumberFormat="1" applyFont="1" applyFill="1" applyBorder="1" applyAlignment="1" applyProtection="1">
      <alignment horizontal="center"/>
    </xf>
    <xf numFmtId="5" fontId="4" fillId="0" borderId="38" xfId="1" applyNumberFormat="1" applyFont="1" applyFill="1" applyBorder="1" applyAlignment="1" applyProtection="1">
      <alignment horizontal="center"/>
    </xf>
    <xf numFmtId="43" fontId="2" fillId="0" borderId="0" xfId="1" applyFont="1" applyFill="1" applyBorder="1" applyAlignment="1">
      <alignment horizontal="center" wrapText="1"/>
    </xf>
    <xf numFmtId="3" fontId="1" fillId="0" borderId="54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9" fillId="0" borderId="55" xfId="0" applyFont="1" applyBorder="1"/>
    <xf numFmtId="3" fontId="2" fillId="0" borderId="55" xfId="0" applyNumberFormat="1" applyFont="1" applyBorder="1" applyAlignment="1">
      <alignment horizontal="center"/>
    </xf>
    <xf numFmtId="4" fontId="2" fillId="0" borderId="55" xfId="0" applyNumberFormat="1" applyFont="1" applyBorder="1" applyAlignment="1">
      <alignment horizontal="center"/>
    </xf>
    <xf numFmtId="167" fontId="2" fillId="0" borderId="56" xfId="0" applyNumberFormat="1" applyFont="1" applyBorder="1" applyAlignment="1">
      <alignment horizontal="center" wrapText="1"/>
    </xf>
    <xf numFmtId="167" fontId="2" fillId="0" borderId="57" xfId="0" applyNumberFormat="1" applyFont="1" applyBorder="1" applyAlignment="1">
      <alignment horizontal="center" wrapText="1"/>
    </xf>
    <xf numFmtId="168" fontId="2" fillId="0" borderId="57" xfId="0" applyNumberFormat="1" applyFont="1" applyBorder="1" applyAlignment="1">
      <alignment horizontal="center" wrapText="1"/>
    </xf>
    <xf numFmtId="170" fontId="2" fillId="0" borderId="57" xfId="0" applyNumberFormat="1" applyFont="1" applyBorder="1" applyAlignment="1">
      <alignment horizontal="center" wrapText="1"/>
    </xf>
    <xf numFmtId="170" fontId="2" fillId="0" borderId="15" xfId="0" applyNumberFormat="1" applyFont="1" applyBorder="1" applyAlignment="1">
      <alignment horizontal="center" wrapText="1"/>
    </xf>
    <xf numFmtId="168" fontId="2" fillId="0" borderId="15" xfId="0" applyNumberFormat="1" applyFont="1" applyBorder="1" applyAlignment="1">
      <alignment horizontal="center" wrapText="1"/>
    </xf>
    <xf numFmtId="0" fontId="5" fillId="0" borderId="2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43" fontId="5" fillId="0" borderId="6" xfId="1" applyFont="1" applyFill="1" applyBorder="1" applyAlignment="1">
      <alignment horizontal="center" wrapText="1"/>
    </xf>
    <xf numFmtId="168" fontId="2" fillId="0" borderId="58" xfId="0" applyNumberFormat="1" applyFont="1" applyBorder="1" applyAlignment="1">
      <alignment horizontal="center" wrapText="1"/>
    </xf>
    <xf numFmtId="170" fontId="2" fillId="0" borderId="58" xfId="0" applyNumberFormat="1" applyFont="1" applyBorder="1" applyAlignment="1">
      <alignment horizontal="center" wrapText="1"/>
    </xf>
    <xf numFmtId="167" fontId="2" fillId="0" borderId="59" xfId="0" applyNumberFormat="1" applyFont="1" applyBorder="1"/>
    <xf numFmtId="167" fontId="2" fillId="0" borderId="58" xfId="0" applyNumberFormat="1" applyFont="1" applyBorder="1" applyAlignment="1">
      <alignment horizontal="center" wrapText="1"/>
    </xf>
    <xf numFmtId="170" fontId="2" fillId="0" borderId="60" xfId="0" applyNumberFormat="1" applyFont="1" applyBorder="1" applyAlignment="1">
      <alignment horizontal="center" wrapText="1"/>
    </xf>
    <xf numFmtId="167" fontId="2" fillId="0" borderId="59" xfId="0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167" fontId="2" fillId="0" borderId="5" xfId="0" applyNumberFormat="1" applyFont="1" applyBorder="1" applyAlignment="1">
      <alignment horizontal="center"/>
    </xf>
    <xf numFmtId="168" fontId="2" fillId="0" borderId="5" xfId="0" applyNumberFormat="1" applyFont="1" applyBorder="1" applyAlignment="1">
      <alignment horizontal="center"/>
    </xf>
    <xf numFmtId="170" fontId="2" fillId="0" borderId="5" xfId="0" applyNumberFormat="1" applyFont="1" applyBorder="1" applyAlignment="1">
      <alignment horizontal="center"/>
    </xf>
    <xf numFmtId="4" fontId="2" fillId="0" borderId="6" xfId="0" applyNumberFormat="1" applyFont="1" applyBorder="1" applyAlignment="1">
      <alignment horizontal="center" wrapText="1"/>
    </xf>
    <xf numFmtId="43" fontId="2" fillId="0" borderId="0" xfId="1" applyFont="1" applyFill="1" applyBorder="1" applyAlignment="1" applyProtection="1">
      <alignment horizontal="center"/>
    </xf>
    <xf numFmtId="0" fontId="9" fillId="0" borderId="6" xfId="0" quotePrefix="1" applyFont="1" applyBorder="1" applyAlignment="1">
      <alignment horizontal="left"/>
    </xf>
    <xf numFmtId="3" fontId="1" fillId="0" borderId="61" xfId="0" applyNumberFormat="1" applyFont="1" applyBorder="1" applyAlignment="1">
      <alignment horizontal="center"/>
    </xf>
    <xf numFmtId="4" fontId="1" fillId="0" borderId="46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3" fontId="2" fillId="0" borderId="27" xfId="0" applyNumberFormat="1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16" fillId="0" borderId="6" xfId="0" applyFont="1" applyBorder="1"/>
    <xf numFmtId="3" fontId="1" fillId="0" borderId="2" xfId="0" applyNumberFormat="1" applyFont="1" applyBorder="1" applyAlignment="1">
      <alignment horizontal="center" wrapText="1"/>
    </xf>
    <xf numFmtId="3" fontId="1" fillId="0" borderId="3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 wrapText="1"/>
    </xf>
    <xf numFmtId="3" fontId="2" fillId="0" borderId="0" xfId="0" applyNumberFormat="1" applyFont="1" applyAlignment="1">
      <alignment horizontal="left"/>
    </xf>
    <xf numFmtId="0" fontId="1" fillId="0" borderId="62" xfId="0" applyFont="1" applyBorder="1" applyAlignment="1">
      <alignment horizontal="center"/>
    </xf>
    <xf numFmtId="0" fontId="1" fillId="0" borderId="63" xfId="0" applyFont="1" applyBorder="1" applyAlignment="1">
      <alignment horizontal="center"/>
    </xf>
    <xf numFmtId="3" fontId="1" fillId="0" borderId="64" xfId="0" applyNumberFormat="1" applyFont="1" applyBorder="1" applyAlignment="1">
      <alignment horizontal="center" wrapText="1"/>
    </xf>
    <xf numFmtId="4" fontId="1" fillId="0" borderId="64" xfId="0" applyNumberFormat="1" applyFont="1" applyBorder="1" applyAlignment="1">
      <alignment horizontal="center" wrapText="1"/>
    </xf>
    <xf numFmtId="4" fontId="1" fillId="0" borderId="65" xfId="0" applyNumberFormat="1" applyFont="1" applyBorder="1" applyAlignment="1">
      <alignment horizontal="center" wrapText="1"/>
    </xf>
    <xf numFmtId="4" fontId="1" fillId="0" borderId="66" xfId="0" applyNumberFormat="1" applyFont="1" applyBorder="1" applyAlignment="1">
      <alignment horizontal="center" wrapText="1"/>
    </xf>
    <xf numFmtId="0" fontId="9" fillId="0" borderId="67" xfId="0" applyFont="1" applyBorder="1" applyAlignment="1">
      <alignment horizontal="center"/>
    </xf>
    <xf numFmtId="4" fontId="1" fillId="0" borderId="68" xfId="0" applyNumberFormat="1" applyFont="1" applyBorder="1" applyAlignment="1">
      <alignment horizontal="center"/>
    </xf>
    <xf numFmtId="3" fontId="1" fillId="0" borderId="69" xfId="0" applyNumberFormat="1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170" fontId="2" fillId="0" borderId="71" xfId="0" applyNumberFormat="1" applyFont="1" applyBorder="1" applyAlignment="1">
      <alignment horizontal="center" wrapText="1"/>
    </xf>
    <xf numFmtId="0" fontId="16" fillId="0" borderId="72" xfId="0" applyFont="1" applyBorder="1"/>
    <xf numFmtId="0" fontId="2" fillId="0" borderId="73" xfId="0" applyFont="1" applyBorder="1" applyAlignment="1">
      <alignment horizontal="center"/>
    </xf>
    <xf numFmtId="170" fontId="2" fillId="0" borderId="68" xfId="0" applyNumberFormat="1" applyFont="1" applyBorder="1" applyAlignment="1">
      <alignment horizontal="center" wrapText="1"/>
    </xf>
    <xf numFmtId="0" fontId="2" fillId="0" borderId="74" xfId="0" applyFont="1" applyBorder="1" applyAlignment="1">
      <alignment horizontal="center"/>
    </xf>
    <xf numFmtId="170" fontId="2" fillId="0" borderId="75" xfId="0" applyNumberFormat="1" applyFont="1" applyBorder="1" applyAlignment="1">
      <alignment horizontal="center" wrapText="1"/>
    </xf>
    <xf numFmtId="170" fontId="2" fillId="0" borderId="76" xfId="0" applyNumberFormat="1" applyFont="1" applyBorder="1" applyAlignment="1">
      <alignment horizontal="center" wrapText="1"/>
    </xf>
    <xf numFmtId="170" fontId="2" fillId="0" borderId="77" xfId="0" applyNumberFormat="1" applyFont="1" applyBorder="1" applyAlignment="1">
      <alignment horizontal="center" wrapText="1"/>
    </xf>
    <xf numFmtId="0" fontId="2" fillId="0" borderId="78" xfId="0" applyFont="1" applyBorder="1" applyAlignment="1">
      <alignment horizontal="center"/>
    </xf>
    <xf numFmtId="170" fontId="2" fillId="0" borderId="79" xfId="0" applyNumberFormat="1" applyFont="1" applyBorder="1" applyAlignment="1">
      <alignment horizontal="center" wrapText="1"/>
    </xf>
    <xf numFmtId="0" fontId="2" fillId="0" borderId="80" xfId="0" applyFont="1" applyBorder="1" applyAlignment="1">
      <alignment horizontal="center"/>
    </xf>
    <xf numFmtId="170" fontId="2" fillId="0" borderId="81" xfId="0" applyNumberFormat="1" applyFont="1" applyBorder="1" applyAlignment="1">
      <alignment horizontal="center" wrapText="1"/>
    </xf>
    <xf numFmtId="0" fontId="2" fillId="0" borderId="67" xfId="0" applyFont="1" applyBorder="1" applyAlignment="1">
      <alignment horizontal="center"/>
    </xf>
    <xf numFmtId="0" fontId="2" fillId="0" borderId="82" xfId="0" applyFont="1" applyBorder="1"/>
    <xf numFmtId="170" fontId="2" fillId="0" borderId="83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7" fontId="2" fillId="0" borderId="58" xfId="0" applyNumberFormat="1" applyFont="1" applyBorder="1"/>
    <xf numFmtId="167" fontId="2" fillId="0" borderId="84" xfId="0" applyNumberFormat="1" applyFont="1" applyBorder="1" applyAlignment="1">
      <alignment horizontal="center"/>
    </xf>
    <xf numFmtId="0" fontId="1" fillId="0" borderId="85" xfId="0" applyFont="1" applyBorder="1" applyAlignment="1">
      <alignment horizontal="center"/>
    </xf>
    <xf numFmtId="0" fontId="9" fillId="0" borderId="86" xfId="0" applyFont="1" applyBorder="1" applyAlignment="1">
      <alignment horizontal="center"/>
    </xf>
    <xf numFmtId="0" fontId="2" fillId="0" borderId="87" xfId="0" applyFont="1" applyBorder="1" applyAlignment="1">
      <alignment horizontal="center"/>
    </xf>
    <xf numFmtId="0" fontId="2" fillId="0" borderId="88" xfId="0" applyFont="1" applyBorder="1" applyAlignment="1">
      <alignment horizontal="center"/>
    </xf>
    <xf numFmtId="0" fontId="2" fillId="0" borderId="89" xfId="0" applyFont="1" applyBorder="1" applyAlignment="1">
      <alignment horizontal="center"/>
    </xf>
    <xf numFmtId="0" fontId="2" fillId="0" borderId="86" xfId="0" applyFont="1" applyBorder="1" applyAlignment="1">
      <alignment horizontal="center"/>
    </xf>
    <xf numFmtId="0" fontId="2" fillId="0" borderId="90" xfId="0" applyFont="1" applyBorder="1" applyAlignment="1">
      <alignment horizontal="center"/>
    </xf>
    <xf numFmtId="0" fontId="16" fillId="0" borderId="91" xfId="0" applyFont="1" applyBorder="1"/>
    <xf numFmtId="3" fontId="2" fillId="0" borderId="92" xfId="0" applyNumberFormat="1" applyFont="1" applyBorder="1" applyAlignment="1">
      <alignment horizontal="center"/>
    </xf>
    <xf numFmtId="3" fontId="2" fillId="0" borderId="92" xfId="0" applyNumberFormat="1" applyFont="1" applyBorder="1" applyAlignment="1">
      <alignment horizontal="center" wrapText="1"/>
    </xf>
    <xf numFmtId="4" fontId="2" fillId="0" borderId="92" xfId="0" applyNumberFormat="1" applyFont="1" applyBorder="1" applyAlignment="1">
      <alignment horizontal="center" wrapText="1"/>
    </xf>
    <xf numFmtId="3" fontId="2" fillId="0" borderId="93" xfId="0" applyNumberFormat="1" applyFont="1" applyBorder="1" applyAlignment="1">
      <alignment horizontal="center"/>
    </xf>
    <xf numFmtId="0" fontId="2" fillId="0" borderId="94" xfId="0" applyFont="1" applyBorder="1"/>
    <xf numFmtId="5" fontId="2" fillId="0" borderId="95" xfId="1" applyNumberFormat="1" applyFont="1" applyFill="1" applyBorder="1" applyAlignment="1">
      <alignment wrapText="1"/>
    </xf>
    <xf numFmtId="5" fontId="2" fillId="0" borderId="96" xfId="1" applyNumberFormat="1" applyFont="1" applyFill="1" applyBorder="1" applyAlignment="1">
      <alignment wrapText="1"/>
    </xf>
    <xf numFmtId="7" fontId="2" fillId="0" borderId="96" xfId="0" applyNumberFormat="1" applyFont="1" applyBorder="1"/>
    <xf numFmtId="4" fontId="2" fillId="0" borderId="96" xfId="0" applyNumberFormat="1" applyFont="1" applyBorder="1" applyAlignment="1">
      <alignment horizontal="center" wrapText="1"/>
    </xf>
    <xf numFmtId="170" fontId="2" fillId="0" borderId="96" xfId="0" applyNumberFormat="1" applyFont="1" applyBorder="1"/>
    <xf numFmtId="170" fontId="2" fillId="0" borderId="97" xfId="0" applyNumberFormat="1" applyFont="1" applyBorder="1" applyAlignment="1">
      <alignment vertical="center"/>
    </xf>
    <xf numFmtId="0" fontId="2" fillId="0" borderId="98" xfId="0" applyFont="1" applyBorder="1" applyAlignment="1">
      <alignment horizontal="center"/>
    </xf>
    <xf numFmtId="0" fontId="2" fillId="0" borderId="99" xfId="0" applyFont="1" applyBorder="1"/>
    <xf numFmtId="0" fontId="2" fillId="0" borderId="100" xfId="0" applyFont="1" applyBorder="1" applyAlignment="1">
      <alignment horizontal="center"/>
    </xf>
    <xf numFmtId="0" fontId="2" fillId="0" borderId="101" xfId="0" applyFont="1" applyBorder="1" applyAlignment="1">
      <alignment horizontal="center"/>
    </xf>
    <xf numFmtId="3" fontId="2" fillId="0" borderId="102" xfId="0" applyNumberFormat="1" applyFont="1" applyBorder="1" applyAlignment="1">
      <alignment horizontal="center"/>
    </xf>
    <xf numFmtId="3" fontId="2" fillId="0" borderId="85" xfId="0" applyNumberFormat="1" applyFont="1" applyBorder="1" applyAlignment="1">
      <alignment horizontal="center"/>
    </xf>
    <xf numFmtId="4" fontId="2" fillId="0" borderId="85" xfId="0" applyNumberFormat="1" applyFont="1" applyBorder="1" applyAlignment="1">
      <alignment horizontal="center"/>
    </xf>
    <xf numFmtId="167" fontId="2" fillId="0" borderId="103" xfId="0" applyNumberFormat="1" applyFont="1" applyBorder="1" applyAlignment="1">
      <alignment horizontal="center" wrapText="1"/>
    </xf>
    <xf numFmtId="168" fontId="2" fillId="0" borderId="103" xfId="0" applyNumberFormat="1" applyFont="1" applyBorder="1" applyAlignment="1">
      <alignment horizontal="center" wrapText="1"/>
    </xf>
    <xf numFmtId="170" fontId="2" fillId="0" borderId="103" xfId="0" applyNumberFormat="1" applyFont="1" applyBorder="1" applyAlignment="1">
      <alignment horizontal="center" wrapText="1"/>
    </xf>
    <xf numFmtId="170" fontId="2" fillId="0" borderId="104" xfId="0" applyNumberFormat="1" applyFont="1" applyBorder="1" applyAlignment="1">
      <alignment horizontal="center" wrapText="1"/>
    </xf>
    <xf numFmtId="167" fontId="2" fillId="0" borderId="91" xfId="0" applyNumberFormat="1" applyFont="1" applyBorder="1" applyAlignment="1">
      <alignment horizontal="center" wrapText="1"/>
    </xf>
    <xf numFmtId="167" fontId="2" fillId="0" borderId="92" xfId="0" applyNumberFormat="1" applyFont="1" applyBorder="1" applyAlignment="1">
      <alignment horizontal="center" wrapText="1"/>
    </xf>
    <xf numFmtId="168" fontId="2" fillId="0" borderId="92" xfId="0" applyNumberFormat="1" applyFont="1" applyBorder="1" applyAlignment="1">
      <alignment horizontal="center" wrapText="1"/>
    </xf>
    <xf numFmtId="170" fontId="2" fillId="0" borderId="92" xfId="0" applyNumberFormat="1" applyFont="1" applyBorder="1" applyAlignment="1">
      <alignment horizontal="center" wrapText="1"/>
    </xf>
    <xf numFmtId="170" fontId="2" fillId="0" borderId="94" xfId="0" applyNumberFormat="1" applyFont="1" applyBorder="1" applyAlignment="1">
      <alignment horizontal="center" wrapText="1"/>
    </xf>
    <xf numFmtId="167" fontId="2" fillId="0" borderId="95" xfId="0" applyNumberFormat="1" applyFont="1" applyBorder="1" applyAlignment="1">
      <alignment horizontal="center" wrapText="1"/>
    </xf>
    <xf numFmtId="167" fontId="2" fillId="0" borderId="96" xfId="0" applyNumberFormat="1" applyFont="1" applyBorder="1" applyAlignment="1">
      <alignment horizontal="center" wrapText="1"/>
    </xf>
    <xf numFmtId="168" fontId="2" fillId="0" borderId="96" xfId="0" applyNumberFormat="1" applyFont="1" applyBorder="1" applyAlignment="1">
      <alignment horizontal="center" wrapText="1"/>
    </xf>
    <xf numFmtId="170" fontId="2" fillId="0" borderId="96" xfId="0" applyNumberFormat="1" applyFont="1" applyBorder="1" applyAlignment="1">
      <alignment horizontal="center" wrapText="1"/>
    </xf>
    <xf numFmtId="170" fontId="2" fillId="0" borderId="97" xfId="0" applyNumberFormat="1" applyFont="1" applyBorder="1" applyAlignment="1">
      <alignment horizontal="center" wrapText="1"/>
    </xf>
    <xf numFmtId="1" fontId="2" fillId="0" borderId="0" xfId="0" applyNumberFormat="1" applyFont="1"/>
    <xf numFmtId="5" fontId="16" fillId="0" borderId="0" xfId="0" applyNumberFormat="1" applyFont="1"/>
    <xf numFmtId="7" fontId="2" fillId="0" borderId="0" xfId="0" applyNumberFormat="1" applyFont="1"/>
    <xf numFmtId="168" fontId="16" fillId="0" borderId="0" xfId="0" applyNumberFormat="1" applyFont="1"/>
    <xf numFmtId="0" fontId="2" fillId="9" borderId="0" xfId="0" applyFont="1" applyFill="1"/>
    <xf numFmtId="0" fontId="13" fillId="9" borderId="0" xfId="0" applyFont="1" applyFill="1"/>
    <xf numFmtId="0" fontId="2" fillId="9" borderId="0" xfId="0" applyFont="1" applyFill="1" applyAlignment="1">
      <alignment horizontal="center"/>
    </xf>
    <xf numFmtId="49" fontId="13" fillId="9" borderId="0" xfId="0" quotePrefix="1" applyNumberFormat="1" applyFont="1" applyFill="1" applyAlignment="1">
      <alignment horizontal="center"/>
    </xf>
    <xf numFmtId="3" fontId="12" fillId="9" borderId="0" xfId="0" applyNumberFormat="1" applyFont="1" applyFill="1"/>
    <xf numFmtId="0" fontId="14" fillId="9" borderId="0" xfId="0" applyFont="1" applyFill="1"/>
    <xf numFmtId="4" fontId="2" fillId="9" borderId="0" xfId="0" applyNumberFormat="1" applyFont="1" applyFill="1"/>
    <xf numFmtId="49" fontId="6" fillId="9" borderId="0" xfId="0" quotePrefix="1" applyNumberFormat="1" applyFont="1" applyFill="1" applyAlignment="1">
      <alignment horizontal="center"/>
    </xf>
    <xf numFmtId="0" fontId="16" fillId="9" borderId="0" xfId="0" applyFont="1" applyFill="1"/>
    <xf numFmtId="1" fontId="16" fillId="9" borderId="0" xfId="0" applyNumberFormat="1" applyFont="1" applyFill="1"/>
    <xf numFmtId="0" fontId="2" fillId="9" borderId="98" xfId="0" applyFont="1" applyFill="1" applyBorder="1" applyAlignment="1">
      <alignment horizontal="center"/>
    </xf>
    <xf numFmtId="5" fontId="2" fillId="9" borderId="95" xfId="1" applyNumberFormat="1" applyFont="1" applyFill="1" applyBorder="1" applyAlignment="1">
      <alignment wrapText="1"/>
    </xf>
    <xf numFmtId="5" fontId="2" fillId="0" borderId="96" xfId="0" applyNumberFormat="1" applyFont="1" applyBorder="1"/>
    <xf numFmtId="2" fontId="16" fillId="0" borderId="0" xfId="0" applyNumberFormat="1" applyFont="1"/>
    <xf numFmtId="14" fontId="2" fillId="0" borderId="0" xfId="0" applyNumberFormat="1" applyFont="1" applyAlignment="1">
      <alignment horizontal="center"/>
    </xf>
    <xf numFmtId="7" fontId="16" fillId="0" borderId="0" xfId="0" applyNumberFormat="1" applyFont="1"/>
    <xf numFmtId="0" fontId="16" fillId="10" borderId="0" xfId="0" applyFont="1" applyFill="1"/>
    <xf numFmtId="43" fontId="5" fillId="0" borderId="0" xfId="1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3" fontId="4" fillId="0" borderId="39" xfId="0" applyNumberFormat="1" applyFont="1" applyBorder="1" applyAlignment="1">
      <alignment horizontal="center" wrapText="1"/>
    </xf>
    <xf numFmtId="43" fontId="4" fillId="0" borderId="0" xfId="1" applyFont="1" applyFill="1" applyBorder="1" applyAlignment="1">
      <alignment horizontal="right"/>
    </xf>
    <xf numFmtId="43" fontId="4" fillId="0" borderId="0" xfId="1" applyFont="1" applyFill="1" applyBorder="1" applyAlignment="1">
      <alignment horizontal="center" wrapText="1"/>
    </xf>
    <xf numFmtId="43" fontId="4" fillId="0" borderId="105" xfId="1" applyFont="1" applyFill="1" applyBorder="1" applyAlignment="1">
      <alignment horizontal="center" wrapText="1"/>
    </xf>
    <xf numFmtId="167" fontId="2" fillId="0" borderId="0" xfId="0" applyNumberFormat="1" applyFont="1" applyAlignment="1">
      <alignment horizontal="center" wrapText="1"/>
    </xf>
    <xf numFmtId="5" fontId="4" fillId="0" borderId="0" xfId="1" applyNumberFormat="1" applyFont="1" applyFill="1" applyBorder="1" applyAlignment="1" applyProtection="1">
      <alignment horizontal="center"/>
    </xf>
    <xf numFmtId="0" fontId="13" fillId="0" borderId="0" xfId="0" applyFont="1"/>
    <xf numFmtId="17" fontId="16" fillId="0" borderId="0" xfId="0" applyNumberFormat="1" applyFont="1"/>
    <xf numFmtId="3" fontId="0" fillId="0" borderId="0" xfId="0" applyNumberFormat="1"/>
    <xf numFmtId="0" fontId="18" fillId="0" borderId="106" xfId="0" applyFont="1" applyBorder="1" applyAlignment="1">
      <alignment horizontal="center" vertical="top"/>
    </xf>
    <xf numFmtId="170" fontId="16" fillId="0" borderId="0" xfId="0" applyNumberFormat="1" applyFont="1"/>
    <xf numFmtId="171" fontId="16" fillId="0" borderId="0" xfId="0" applyNumberFormat="1" applyFont="1"/>
    <xf numFmtId="0" fontId="5" fillId="0" borderId="106" xfId="0" applyFont="1" applyBorder="1" applyAlignment="1">
      <alignment horizontal="center"/>
    </xf>
    <xf numFmtId="0" fontId="2" fillId="0" borderId="94" xfId="0" applyFont="1" applyBorder="1" applyAlignment="1">
      <alignment horizontal="center"/>
    </xf>
    <xf numFmtId="0" fontId="17" fillId="0" borderId="0" xfId="0" applyFont="1"/>
    <xf numFmtId="3" fontId="19" fillId="0" borderId="0" xfId="0" applyNumberFormat="1" applyFont="1" applyAlignment="1">
      <alignment horizontal="left"/>
    </xf>
    <xf numFmtId="167" fontId="2" fillId="0" borderId="12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left"/>
    </xf>
    <xf numFmtId="0" fontId="5" fillId="0" borderId="0" xfId="0" applyFont="1" applyAlignment="1">
      <alignment wrapText="1"/>
    </xf>
    <xf numFmtId="0" fontId="17" fillId="0" borderId="0" xfId="0" applyFont="1" applyAlignment="1">
      <alignment horizontal="center"/>
    </xf>
    <xf numFmtId="3" fontId="2" fillId="0" borderId="6" xfId="0" applyNumberFormat="1" applyFont="1" applyBorder="1" applyAlignment="1">
      <alignment horizontal="center" vertical="top" wrapText="1"/>
    </xf>
    <xf numFmtId="167" fontId="2" fillId="0" borderId="6" xfId="0" applyNumberFormat="1" applyFont="1" applyBorder="1" applyAlignment="1">
      <alignment horizontal="center" vertical="top" wrapText="1"/>
    </xf>
    <xf numFmtId="167" fontId="2" fillId="0" borderId="6" xfId="1" applyNumberFormat="1" applyFont="1" applyFill="1" applyBorder="1" applyAlignment="1">
      <alignment horizontal="center" vertical="top" wrapText="1"/>
    </xf>
    <xf numFmtId="1" fontId="16" fillId="0" borderId="0" xfId="0" applyNumberFormat="1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E865-B26E-40C8-93A9-AE1AF0496F25}">
  <dimension ref="A1:L89"/>
  <sheetViews>
    <sheetView zoomScaleNormal="100" workbookViewId="0">
      <pane ySplit="1" topLeftCell="A34" activePane="bottomLeft" state="frozen"/>
      <selection pane="bottomLeft" activeCell="A53" sqref="A53:C88"/>
    </sheetView>
  </sheetViews>
  <sheetFormatPr defaultColWidth="9.1796875" defaultRowHeight="14.5" x14ac:dyDescent="0.35"/>
  <cols>
    <col min="1" max="1" width="21" style="26" customWidth="1"/>
    <col min="2" max="2" width="11.453125" style="26" customWidth="1"/>
    <col min="3" max="3" width="11.26953125" style="26" customWidth="1"/>
    <col min="4" max="4" width="11" style="26" customWidth="1"/>
    <col min="5" max="5" width="11.7265625" style="26" customWidth="1"/>
    <col min="6" max="6" width="11.1796875" style="26" customWidth="1"/>
    <col min="7" max="7" width="8.81640625" style="26" customWidth="1"/>
    <col min="8" max="8" width="20.26953125" style="26" bestFit="1" customWidth="1"/>
    <col min="9" max="9" width="10.54296875" style="26" bestFit="1" customWidth="1"/>
    <col min="10" max="10" width="10.26953125" style="26" bestFit="1" customWidth="1"/>
    <col min="11" max="12" width="10.54296875" style="147" bestFit="1" customWidth="1"/>
    <col min="13" max="13" width="11.54296875" style="26" bestFit="1" customWidth="1"/>
    <col min="14" max="16" width="10.54296875" style="26" bestFit="1" customWidth="1"/>
    <col min="17" max="16384" width="9.1796875" style="26"/>
  </cols>
  <sheetData>
    <row r="1" spans="1:8" ht="18" x14ac:dyDescent="0.4">
      <c r="A1" s="1"/>
      <c r="B1" s="6"/>
      <c r="C1" s="146" t="s">
        <v>50</v>
      </c>
      <c r="D1" s="145"/>
      <c r="E1" s="1"/>
      <c r="F1" s="1"/>
      <c r="G1" s="2"/>
      <c r="H1" s="25"/>
    </row>
    <row r="2" spans="1:8" x14ac:dyDescent="0.35">
      <c r="A2" s="1"/>
      <c r="B2" s="6"/>
      <c r="C2" s="1"/>
      <c r="D2" s="27"/>
      <c r="E2" s="1"/>
      <c r="F2" s="1"/>
      <c r="G2" s="1"/>
      <c r="H2" s="28"/>
    </row>
    <row r="3" spans="1:8" x14ac:dyDescent="0.35">
      <c r="A3" s="1"/>
      <c r="B3" s="6"/>
      <c r="C3" s="30"/>
      <c r="D3" s="31"/>
      <c r="E3" s="1"/>
      <c r="F3" s="1"/>
      <c r="G3" s="2"/>
      <c r="H3" s="30"/>
    </row>
    <row r="4" spans="1:8" x14ac:dyDescent="0.35">
      <c r="A4" s="32" t="s">
        <v>2</v>
      </c>
      <c r="B4" s="33" t="s">
        <v>3</v>
      </c>
      <c r="C4" s="33" t="s">
        <v>4</v>
      </c>
      <c r="D4" s="33" t="s">
        <v>5</v>
      </c>
      <c r="E4" s="34" t="s">
        <v>6</v>
      </c>
      <c r="F4" s="35" t="s">
        <v>7</v>
      </c>
      <c r="G4" s="36" t="s">
        <v>7</v>
      </c>
      <c r="H4" s="37"/>
    </row>
    <row r="5" spans="1:8" x14ac:dyDescent="0.35">
      <c r="A5" s="38" t="s">
        <v>8</v>
      </c>
      <c r="B5" s="39" t="s">
        <v>9</v>
      </c>
      <c r="C5" s="39" t="s">
        <v>9</v>
      </c>
      <c r="D5" s="39" t="s">
        <v>9</v>
      </c>
      <c r="E5" s="40" t="s">
        <v>9</v>
      </c>
      <c r="F5" s="41" t="s">
        <v>10</v>
      </c>
      <c r="G5" s="42" t="s">
        <v>10</v>
      </c>
      <c r="H5" s="43"/>
    </row>
    <row r="6" spans="1:8" x14ac:dyDescent="0.35">
      <c r="A6" s="44" t="s">
        <v>11</v>
      </c>
      <c r="B6" s="45"/>
      <c r="C6" s="45" t="s">
        <v>0</v>
      </c>
      <c r="D6" s="45" t="s">
        <v>0</v>
      </c>
      <c r="E6" s="45" t="s">
        <v>0</v>
      </c>
      <c r="F6" s="46" t="s">
        <v>0</v>
      </c>
      <c r="G6" s="47" t="s">
        <v>12</v>
      </c>
      <c r="H6" s="48"/>
    </row>
    <row r="7" spans="1:8" ht="15.75" customHeight="1" x14ac:dyDescent="0.35">
      <c r="A7" s="49" t="s">
        <v>13</v>
      </c>
      <c r="B7" s="50" t="s">
        <v>14</v>
      </c>
      <c r="C7" s="50" t="s">
        <v>14</v>
      </c>
      <c r="D7" s="50" t="s">
        <v>14</v>
      </c>
      <c r="E7" s="51" t="s">
        <v>14</v>
      </c>
      <c r="F7" s="51" t="s">
        <v>14</v>
      </c>
      <c r="G7" s="52" t="s">
        <v>14</v>
      </c>
      <c r="H7" s="53"/>
    </row>
    <row r="8" spans="1:8" x14ac:dyDescent="0.35">
      <c r="A8" s="54">
        <v>6</v>
      </c>
      <c r="B8" s="176">
        <v>16394</v>
      </c>
      <c r="C8" s="175">
        <f t="shared" ref="C8:C16" si="0">ROUND((B8*1.075),0)</f>
        <v>17624</v>
      </c>
      <c r="D8" s="149">
        <f t="shared" ref="D8:D16" si="1">C8/12</f>
        <v>1468.6666666666667</v>
      </c>
      <c r="E8" s="150">
        <f t="shared" ref="E8:E16" si="2">SUM(C8/52.143)</f>
        <v>337.99359453809717</v>
      </c>
      <c r="F8" s="161">
        <f>SUM($C8/52.143)/37</f>
        <v>9.1349620145431665</v>
      </c>
      <c r="G8" s="162">
        <f t="shared" ref="G8:G16" si="3">SUM($C8/52.143)/37*1.1381</f>
        <v>10.396500268751577</v>
      </c>
      <c r="H8" s="55"/>
    </row>
    <row r="9" spans="1:8" x14ac:dyDescent="0.35">
      <c r="A9" s="54">
        <v>7</v>
      </c>
      <c r="B9" s="176">
        <v>16495</v>
      </c>
      <c r="C9" s="175">
        <f t="shared" si="0"/>
        <v>17732</v>
      </c>
      <c r="D9" s="149">
        <f t="shared" si="1"/>
        <v>1477.6666666666667</v>
      </c>
      <c r="E9" s="150">
        <f t="shared" si="2"/>
        <v>340.06482174021443</v>
      </c>
      <c r="F9" s="161">
        <f>SUM($C9/52.143)/37</f>
        <v>9.190941128113904</v>
      </c>
      <c r="G9" s="162">
        <f t="shared" si="3"/>
        <v>10.460210097906433</v>
      </c>
      <c r="H9" s="56"/>
    </row>
    <row r="10" spans="1:8" ht="15" thickBot="1" x14ac:dyDescent="0.4">
      <c r="A10" s="57">
        <v>8</v>
      </c>
      <c r="B10" s="177">
        <v>16626</v>
      </c>
      <c r="C10" s="178">
        <f t="shared" si="0"/>
        <v>17873</v>
      </c>
      <c r="D10" s="151">
        <f t="shared" si="1"/>
        <v>1489.4166666666667</v>
      </c>
      <c r="E10" s="152">
        <f t="shared" si="2"/>
        <v>342.76892392075638</v>
      </c>
      <c r="F10" s="163">
        <f t="shared" ref="F10:F16" si="4">SUM($C10/52.143)/37</f>
        <v>9.2640249708312528</v>
      </c>
      <c r="G10" s="164">
        <f t="shared" si="3"/>
        <v>10.543386819303048</v>
      </c>
      <c r="H10" s="56"/>
    </row>
    <row r="11" spans="1:8" x14ac:dyDescent="0.35">
      <c r="A11" s="59">
        <v>9</v>
      </c>
      <c r="B11" s="179">
        <v>16755</v>
      </c>
      <c r="C11" s="180">
        <f t="shared" si="0"/>
        <v>18012</v>
      </c>
      <c r="D11" s="153">
        <f t="shared" si="1"/>
        <v>1501</v>
      </c>
      <c r="E11" s="154">
        <f t="shared" si="2"/>
        <v>345.43467004199988</v>
      </c>
      <c r="F11" s="165">
        <f t="shared" si="4"/>
        <v>9.3360721632972936</v>
      </c>
      <c r="G11" s="166">
        <f t="shared" si="3"/>
        <v>10.625383729048648</v>
      </c>
      <c r="H11" s="56"/>
    </row>
    <row r="12" spans="1:8" x14ac:dyDescent="0.35">
      <c r="A12" s="54">
        <v>10</v>
      </c>
      <c r="B12" s="176">
        <v>16863</v>
      </c>
      <c r="C12" s="175">
        <f t="shared" si="0"/>
        <v>18128</v>
      </c>
      <c r="D12" s="149">
        <f t="shared" si="1"/>
        <v>1510.6666666666667</v>
      </c>
      <c r="E12" s="150">
        <f t="shared" si="2"/>
        <v>347.659321481311</v>
      </c>
      <c r="F12" s="161">
        <f t="shared" si="4"/>
        <v>9.39619787787327</v>
      </c>
      <c r="G12" s="167">
        <f t="shared" si="3"/>
        <v>10.693812804807568</v>
      </c>
      <c r="H12" s="56"/>
    </row>
    <row r="13" spans="1:8" ht="15" thickBot="1" x14ac:dyDescent="0.4">
      <c r="A13" s="60">
        <v>11</v>
      </c>
      <c r="B13" s="181">
        <v>17007</v>
      </c>
      <c r="C13" s="182">
        <f t="shared" si="0"/>
        <v>18283</v>
      </c>
      <c r="D13" s="155">
        <f t="shared" si="1"/>
        <v>1523.5833333333333</v>
      </c>
      <c r="E13" s="156">
        <f t="shared" si="2"/>
        <v>350.63191607694228</v>
      </c>
      <c r="F13" s="168">
        <f t="shared" si="4"/>
        <v>9.4765382723497904</v>
      </c>
      <c r="G13" s="169">
        <f t="shared" si="3"/>
        <v>10.785248207761295</v>
      </c>
      <c r="H13" s="56"/>
    </row>
    <row r="14" spans="1:8" x14ac:dyDescent="0.35">
      <c r="A14" s="54">
        <v>11</v>
      </c>
      <c r="B14" s="183">
        <f>B13</f>
        <v>17007</v>
      </c>
      <c r="C14" s="180">
        <f t="shared" si="0"/>
        <v>18283</v>
      </c>
      <c r="D14" s="157">
        <f t="shared" si="1"/>
        <v>1523.5833333333333</v>
      </c>
      <c r="E14" s="158">
        <f t="shared" si="2"/>
        <v>350.63191607694228</v>
      </c>
      <c r="F14" s="170">
        <f t="shared" si="4"/>
        <v>9.4765382723497904</v>
      </c>
      <c r="G14" s="171">
        <f t="shared" si="3"/>
        <v>10.785248207761295</v>
      </c>
      <c r="H14" s="56"/>
    </row>
    <row r="15" spans="1:8" x14ac:dyDescent="0.35">
      <c r="A15" s="54">
        <v>12</v>
      </c>
      <c r="B15" s="176">
        <v>17173</v>
      </c>
      <c r="C15" s="175">
        <f t="shared" si="0"/>
        <v>18461</v>
      </c>
      <c r="D15" s="149">
        <f t="shared" si="1"/>
        <v>1538.4166666666667</v>
      </c>
      <c r="E15" s="150">
        <f t="shared" si="2"/>
        <v>354.04560535450588</v>
      </c>
      <c r="F15" s="161">
        <f t="shared" si="4"/>
        <v>9.5688001447163753</v>
      </c>
      <c r="G15" s="162">
        <f t="shared" si="3"/>
        <v>10.890251444701706</v>
      </c>
      <c r="H15" s="56"/>
    </row>
    <row r="16" spans="1:8" ht="15" thickBot="1" x14ac:dyDescent="0.4">
      <c r="A16" s="61">
        <v>13</v>
      </c>
      <c r="B16" s="178">
        <v>17391</v>
      </c>
      <c r="C16" s="178">
        <f t="shared" si="0"/>
        <v>18695</v>
      </c>
      <c r="D16" s="159">
        <f t="shared" si="1"/>
        <v>1557.9166666666667</v>
      </c>
      <c r="E16" s="160">
        <f t="shared" si="2"/>
        <v>358.53326429242657</v>
      </c>
      <c r="F16" s="172">
        <f t="shared" si="4"/>
        <v>9.6900882241196378</v>
      </c>
      <c r="G16" s="173">
        <f t="shared" si="3"/>
        <v>11.02828940787056</v>
      </c>
      <c r="H16" s="56"/>
    </row>
    <row r="17" spans="1:8" x14ac:dyDescent="0.35">
      <c r="A17" s="62" t="s">
        <v>15</v>
      </c>
      <c r="B17" s="184"/>
      <c r="C17" s="180"/>
      <c r="D17" s="157"/>
      <c r="E17" s="158"/>
      <c r="F17" s="170"/>
      <c r="G17" s="171"/>
      <c r="H17" s="3"/>
    </row>
    <row r="18" spans="1:8" x14ac:dyDescent="0.35">
      <c r="A18" s="63">
        <v>14</v>
      </c>
      <c r="B18" s="176">
        <v>17681</v>
      </c>
      <c r="C18" s="175">
        <f>ROUND((B18*1.075),0)</f>
        <v>19007</v>
      </c>
      <c r="D18" s="149">
        <f>C18/12</f>
        <v>1583.9166666666667</v>
      </c>
      <c r="E18" s="150">
        <f>SUM(C18/52.143)</f>
        <v>364.51680954298757</v>
      </c>
      <c r="F18" s="161">
        <f>SUM($C18/52.143)/37</f>
        <v>9.8518056633239883</v>
      </c>
      <c r="G18" s="162">
        <f>SUM($C18/52.143)/37*1.1381</f>
        <v>11.212340025429031</v>
      </c>
      <c r="H18" s="56"/>
    </row>
    <row r="19" spans="1:8" x14ac:dyDescent="0.35">
      <c r="A19" s="54">
        <v>15</v>
      </c>
      <c r="B19" s="176">
        <v>17972</v>
      </c>
      <c r="C19" s="175">
        <f>ROUND((B19*1.075),0)</f>
        <v>19320</v>
      </c>
      <c r="D19" s="149">
        <f>C19/12</f>
        <v>1610</v>
      </c>
      <c r="E19" s="150">
        <f>SUM(C19/52.143)</f>
        <v>370.51953282319772</v>
      </c>
      <c r="F19" s="161">
        <f>SUM($C19/52.143)/37</f>
        <v>10.014041427653993</v>
      </c>
      <c r="G19" s="162">
        <f>SUM($C19/52.143)/37*1.1381</f>
        <v>11.396980548813008</v>
      </c>
      <c r="H19" s="56"/>
    </row>
    <row r="20" spans="1:8" x14ac:dyDescent="0.35">
      <c r="A20" s="54">
        <v>16</v>
      </c>
      <c r="B20" s="176">
        <v>18319</v>
      </c>
      <c r="C20" s="175">
        <f>ROUND((B20*1.075),0)</f>
        <v>19693</v>
      </c>
      <c r="D20" s="149">
        <f>C20/12</f>
        <v>1641.0833333333333</v>
      </c>
      <c r="E20" s="150">
        <f>SUM(C20/52.143)</f>
        <v>377.67293788236196</v>
      </c>
      <c r="F20" s="161">
        <f>SUM($C20/52.143)/37</f>
        <v>10.207376699523296</v>
      </c>
      <c r="G20" s="162">
        <f>SUM($C20/52.143)/37*1.1381</f>
        <v>11.617015421727462</v>
      </c>
      <c r="H20" s="56"/>
    </row>
    <row r="21" spans="1:8" ht="15" thickBot="1" x14ac:dyDescent="0.4">
      <c r="A21" s="61">
        <v>17</v>
      </c>
      <c r="B21" s="178">
        <v>18672</v>
      </c>
      <c r="C21" s="178">
        <f>ROUND((B21*1.075),0)</f>
        <v>20072</v>
      </c>
      <c r="D21" s="159">
        <f>C21/12</f>
        <v>1672.6666666666667</v>
      </c>
      <c r="E21" s="160">
        <f>SUM(C21/52.143)</f>
        <v>384.94141111942156</v>
      </c>
      <c r="F21" s="172">
        <f>SUM($C21/52.143)/37</f>
        <v>10.403821922146529</v>
      </c>
      <c r="G21" s="173">
        <f>SUM($C21/52.143)/37*1.1381</f>
        <v>11.840589729594964</v>
      </c>
      <c r="H21" s="56"/>
    </row>
    <row r="22" spans="1:8" x14ac:dyDescent="0.35">
      <c r="A22" s="62" t="s">
        <v>16</v>
      </c>
      <c r="B22" s="183" t="s">
        <v>1</v>
      </c>
      <c r="C22" s="180"/>
      <c r="D22" s="157"/>
      <c r="E22" s="158"/>
      <c r="F22" s="170"/>
      <c r="G22" s="171"/>
      <c r="H22" s="3"/>
    </row>
    <row r="23" spans="1:8" x14ac:dyDescent="0.35">
      <c r="A23" s="63">
        <v>18</v>
      </c>
      <c r="B23" s="176">
        <v>18870</v>
      </c>
      <c r="C23" s="175">
        <f>ROUND((B23*1.075),0)</f>
        <v>20285</v>
      </c>
      <c r="D23" s="149">
        <f>C23/12</f>
        <v>1690.4166666666667</v>
      </c>
      <c r="E23" s="150">
        <f>SUM(C23/52.143)</f>
        <v>389.02633143470837</v>
      </c>
      <c r="F23" s="161">
        <f>SUM($C23/52.143)/37</f>
        <v>10.514225173911036</v>
      </c>
      <c r="G23" s="162">
        <f>SUM($C23/52.143)/37*1.1381</f>
        <v>11.96623967042815</v>
      </c>
      <c r="H23" s="56"/>
    </row>
    <row r="24" spans="1:8" x14ac:dyDescent="0.35">
      <c r="A24" s="54">
        <v>19</v>
      </c>
      <c r="B24" s="176">
        <v>19446</v>
      </c>
      <c r="C24" s="175">
        <f>ROUND((B24*1.075),0)</f>
        <v>20904</v>
      </c>
      <c r="D24" s="149">
        <f>C24/12</f>
        <v>1742</v>
      </c>
      <c r="E24" s="150">
        <f>SUM(C24/52.143)</f>
        <v>400.89753178758411</v>
      </c>
      <c r="F24" s="161">
        <f>SUM($C24/52.143)/37</f>
        <v>10.835068426691462</v>
      </c>
      <c r="G24" s="162">
        <f>SUM($C24/52.143)/37*1.1381</f>
        <v>12.331391376417551</v>
      </c>
      <c r="H24" s="56"/>
    </row>
    <row r="25" spans="1:8" x14ac:dyDescent="0.35">
      <c r="A25" s="54">
        <v>20</v>
      </c>
      <c r="B25" s="176">
        <v>19819</v>
      </c>
      <c r="C25" s="175">
        <f>ROUND((B25*1.075),0)</f>
        <v>21305</v>
      </c>
      <c r="D25" s="149">
        <f>C25/12</f>
        <v>1775.4166666666667</v>
      </c>
      <c r="E25" s="150">
        <f>SUM(C25/52.143)</f>
        <v>408.5879216769269</v>
      </c>
      <c r="F25" s="161">
        <f>SUM($C25/52.143)/37</f>
        <v>11.042916802079105</v>
      </c>
      <c r="G25" s="162">
        <f>SUM($C25/52.143)/37*1.1381</f>
        <v>12.567943612446228</v>
      </c>
      <c r="H25" s="56"/>
    </row>
    <row r="26" spans="1:8" ht="15" thickBot="1" x14ac:dyDescent="0.4">
      <c r="A26" s="61">
        <v>21</v>
      </c>
      <c r="B26" s="178">
        <v>20541</v>
      </c>
      <c r="C26" s="178">
        <f>ROUND((B26*1.075),0)</f>
        <v>22082</v>
      </c>
      <c r="D26" s="159">
        <f>C26/12</f>
        <v>1840.1666666666667</v>
      </c>
      <c r="E26" s="160">
        <f>SUM(C26/52.143)</f>
        <v>423.48925071438163</v>
      </c>
      <c r="F26" s="172">
        <f>SUM($C26/52.143)/37</f>
        <v>11.445655424713017</v>
      </c>
      <c r="G26" s="173">
        <f>SUM($C26/52.143)/37*1.1381</f>
        <v>13.026300438865883</v>
      </c>
      <c r="H26" s="56"/>
    </row>
    <row r="27" spans="1:8" x14ac:dyDescent="0.35">
      <c r="A27" s="62" t="s">
        <v>17</v>
      </c>
      <c r="B27" s="183"/>
      <c r="C27" s="180"/>
      <c r="D27" s="157"/>
      <c r="E27" s="158"/>
      <c r="F27" s="170"/>
      <c r="G27" s="171"/>
      <c r="H27" s="3"/>
    </row>
    <row r="28" spans="1:8" x14ac:dyDescent="0.35">
      <c r="A28" s="63">
        <v>22</v>
      </c>
      <c r="B28" s="176">
        <v>21074</v>
      </c>
      <c r="C28" s="175">
        <f>ROUND((B28*1.075),0)</f>
        <v>22655</v>
      </c>
      <c r="D28" s="149">
        <f>C28/12</f>
        <v>1887.9166666666667</v>
      </c>
      <c r="E28" s="150">
        <f>SUM(C28/52.143)</f>
        <v>434.4782617033926</v>
      </c>
      <c r="F28" s="161">
        <f>SUM($C28/52.143)/37</f>
        <v>11.742655721713314</v>
      </c>
      <c r="G28" s="162">
        <f>SUM($C28/52.143)/37*1.1381</f>
        <v>13.364316476881921</v>
      </c>
      <c r="H28" s="56"/>
    </row>
    <row r="29" spans="1:8" x14ac:dyDescent="0.35">
      <c r="A29" s="54">
        <v>23</v>
      </c>
      <c r="B29" s="176">
        <v>21693</v>
      </c>
      <c r="C29" s="175">
        <f>ROUND((B29*1.075),0)</f>
        <v>23320</v>
      </c>
      <c r="D29" s="149">
        <f>C29/12</f>
        <v>1943.3333333333333</v>
      </c>
      <c r="E29" s="150">
        <f>SUM(C29/52.143)</f>
        <v>447.23165142013306</v>
      </c>
      <c r="F29" s="161">
        <f>SUM($C29/52.143)/37</f>
        <v>12.087341930273867</v>
      </c>
      <c r="G29" s="162">
        <f>SUM($C29/52.143)/37*1.1381</f>
        <v>13.756603850844687</v>
      </c>
      <c r="H29" s="56"/>
    </row>
    <row r="30" spans="1:8" x14ac:dyDescent="0.35">
      <c r="A30" s="54">
        <v>24</v>
      </c>
      <c r="B30" s="176">
        <v>22401</v>
      </c>
      <c r="C30" s="175">
        <f>ROUND((B30*1.075),0)</f>
        <v>24081</v>
      </c>
      <c r="D30" s="149">
        <f>C30/12</f>
        <v>2006.75</v>
      </c>
      <c r="E30" s="150">
        <f>SUM(C30/52.143)</f>
        <v>461.82613198320001</v>
      </c>
      <c r="F30" s="161">
        <f>SUM($C30/52.143)/37</f>
        <v>12.481787350897298</v>
      </c>
      <c r="G30" s="162">
        <f>SUM($C30/52.143)/37*1.1381</f>
        <v>14.205522184056212</v>
      </c>
      <c r="H30" s="56"/>
    </row>
    <row r="31" spans="1:8" ht="15" thickBot="1" x14ac:dyDescent="0.4">
      <c r="A31" s="54">
        <v>25</v>
      </c>
      <c r="B31" s="178">
        <v>23111</v>
      </c>
      <c r="C31" s="182">
        <f>ROUND((B31*1.075),0)</f>
        <v>24844</v>
      </c>
      <c r="D31" s="159">
        <f>C31/12</f>
        <v>2070.3333333333335</v>
      </c>
      <c r="E31" s="160">
        <f>SUM(C31/52.143)</f>
        <v>476.45896860556547</v>
      </c>
      <c r="F31" s="172">
        <f>SUM($C31/52.143)/37</f>
        <v>12.87726942177204</v>
      </c>
      <c r="G31" s="173">
        <f>SUM($C31/52.143)/37*1.1381</f>
        <v>14.655620328918756</v>
      </c>
      <c r="H31" s="56"/>
    </row>
    <row r="32" spans="1:8" x14ac:dyDescent="0.35">
      <c r="A32" s="49" t="s">
        <v>18</v>
      </c>
      <c r="B32" s="183"/>
      <c r="C32" s="180"/>
      <c r="D32" s="157"/>
      <c r="E32" s="158"/>
      <c r="F32" s="170"/>
      <c r="G32" s="171"/>
      <c r="H32" s="3"/>
    </row>
    <row r="33" spans="1:8" x14ac:dyDescent="0.35">
      <c r="A33" s="63">
        <v>26</v>
      </c>
      <c r="B33" s="176">
        <v>23866</v>
      </c>
      <c r="C33" s="175">
        <f>ROUND((B33*1.075),0)</f>
        <v>25656</v>
      </c>
      <c r="D33" s="149">
        <f>C33/12</f>
        <v>2138</v>
      </c>
      <c r="E33" s="150">
        <f>SUM(C33/52.143)</f>
        <v>492.03152868074335</v>
      </c>
      <c r="F33" s="161">
        <f>SUM($C33/52.143)/37</f>
        <v>13.298149423803874</v>
      </c>
      <c r="G33" s="162">
        <f>SUM($C33/52.143)/37*1.1381</f>
        <v>15.134623859231187</v>
      </c>
      <c r="H33" s="56"/>
    </row>
    <row r="34" spans="1:8" x14ac:dyDescent="0.35">
      <c r="A34" s="54">
        <v>27</v>
      </c>
      <c r="B34" s="176">
        <v>24657</v>
      </c>
      <c r="C34" s="175">
        <f>ROUND((B34*1.075),0)</f>
        <v>26506</v>
      </c>
      <c r="D34" s="149">
        <f>C34/12</f>
        <v>2208.8333333333335</v>
      </c>
      <c r="E34" s="150">
        <f>SUM(C34/52.143)</f>
        <v>508.33285388259208</v>
      </c>
      <c r="F34" s="161">
        <f>SUM($C34/52.143)/37</f>
        <v>13.738725780610597</v>
      </c>
      <c r="G34" s="162">
        <f>SUM($C34/52.143)/37*1.1381</f>
        <v>15.63604381091292</v>
      </c>
      <c r="H34" s="56"/>
    </row>
    <row r="35" spans="1:8" ht="15" thickBot="1" x14ac:dyDescent="0.4">
      <c r="A35" s="61">
        <v>28</v>
      </c>
      <c r="B35" s="178">
        <v>25463</v>
      </c>
      <c r="C35" s="182">
        <f>ROUND((B35*1.075),0)</f>
        <v>27373</v>
      </c>
      <c r="D35" s="159">
        <f>C35/12</f>
        <v>2281.0833333333335</v>
      </c>
      <c r="E35" s="160">
        <f>SUM(C35/52.143)</f>
        <v>524.96020558847783</v>
      </c>
      <c r="F35" s="172">
        <f>SUM($C35/52.143)/37</f>
        <v>14.188113664553455</v>
      </c>
      <c r="G35" s="173">
        <f>SUM($C35/52.143)/37*1.1381</f>
        <v>16.147492161628286</v>
      </c>
      <c r="H35" s="56"/>
    </row>
    <row r="36" spans="1:8" x14ac:dyDescent="0.35">
      <c r="A36" s="6"/>
      <c r="B36" s="64"/>
      <c r="C36" s="64"/>
      <c r="D36" s="65"/>
      <c r="E36" s="65"/>
      <c r="F36" s="65"/>
      <c r="G36" s="66"/>
      <c r="H36" s="67"/>
    </row>
    <row r="37" spans="1:8" x14ac:dyDescent="0.35">
      <c r="A37" s="144"/>
      <c r="B37" s="191" t="s">
        <v>19</v>
      </c>
      <c r="C37" s="192" t="s">
        <v>20</v>
      </c>
      <c r="D37" s="193" t="s">
        <v>49</v>
      </c>
      <c r="E37" s="68"/>
      <c r="F37" s="69" t="s">
        <v>21</v>
      </c>
      <c r="G37" s="144" t="s">
        <v>48</v>
      </c>
      <c r="H37" s="29"/>
    </row>
    <row r="38" spans="1:8" x14ac:dyDescent="0.35">
      <c r="A38" s="144" t="s">
        <v>22</v>
      </c>
      <c r="B38" s="194">
        <f>B24</f>
        <v>19446</v>
      </c>
      <c r="C38" s="194">
        <v>597</v>
      </c>
      <c r="D38" s="195">
        <f>B38+C38</f>
        <v>20043</v>
      </c>
      <c r="E38" s="1"/>
      <c r="F38" s="196">
        <f>SUM(B38+C38)/37/52.143</f>
        <v>10.388790493502535</v>
      </c>
      <c r="G38" s="197">
        <f>D38/52.143/37*1.1381</f>
        <v>11.823482460655233</v>
      </c>
      <c r="H38" s="1"/>
    </row>
    <row r="39" spans="1:8" x14ac:dyDescent="0.35">
      <c r="A39" s="1"/>
      <c r="B39" s="5"/>
      <c r="C39" s="1"/>
      <c r="D39" s="1"/>
      <c r="E39" s="1"/>
      <c r="F39" s="1"/>
      <c r="G39" s="4"/>
      <c r="H39" s="1"/>
    </row>
    <row r="40" spans="1:8" x14ac:dyDescent="0.35">
      <c r="A40" s="70" t="s">
        <v>47</v>
      </c>
      <c r="B40" s="71"/>
      <c r="C40" s="72"/>
      <c r="D40" s="73"/>
      <c r="E40" s="74"/>
      <c r="F40" s="74"/>
      <c r="G40" s="75"/>
      <c r="H40" s="2"/>
    </row>
    <row r="41" spans="1:8" x14ac:dyDescent="0.35">
      <c r="A41" s="76"/>
      <c r="B41" s="71"/>
      <c r="C41" s="74"/>
      <c r="D41" s="73"/>
      <c r="E41" s="74"/>
      <c r="F41" s="74"/>
      <c r="G41" s="75"/>
      <c r="H41" s="1"/>
    </row>
    <row r="42" spans="1:8" x14ac:dyDescent="0.35">
      <c r="A42" s="77" t="s">
        <v>23</v>
      </c>
      <c r="B42" s="6"/>
      <c r="C42" s="75"/>
      <c r="D42" s="29"/>
      <c r="E42" s="75"/>
      <c r="F42" s="75"/>
      <c r="G42" s="75"/>
      <c r="H42" s="1"/>
    </row>
    <row r="43" spans="1:8" x14ac:dyDescent="0.35">
      <c r="A43" s="1"/>
      <c r="B43" s="6"/>
      <c r="C43" s="75"/>
      <c r="D43" s="78"/>
      <c r="E43" s="29"/>
      <c r="F43" s="29"/>
      <c r="G43" s="29"/>
      <c r="H43" s="1"/>
    </row>
    <row r="44" spans="1:8" x14ac:dyDescent="0.35">
      <c r="A44" s="79" t="s">
        <v>24</v>
      </c>
      <c r="B44" s="80" t="s">
        <v>25</v>
      </c>
      <c r="C44" s="81"/>
      <c r="D44" s="82" t="s">
        <v>26</v>
      </c>
      <c r="E44" s="29"/>
      <c r="F44" s="29"/>
      <c r="G44" s="29"/>
      <c r="H44" s="1"/>
    </row>
    <row r="45" spans="1:8" x14ac:dyDescent="0.35">
      <c r="A45" s="83"/>
      <c r="B45" s="84"/>
      <c r="C45" s="85"/>
      <c r="D45" s="86" t="s">
        <v>27</v>
      </c>
      <c r="E45" s="29"/>
      <c r="F45" s="29"/>
      <c r="G45" s="29"/>
      <c r="H45" s="1"/>
    </row>
    <row r="46" spans="1:8" x14ac:dyDescent="0.35">
      <c r="A46" s="1"/>
      <c r="B46" s="6"/>
      <c r="C46" s="75"/>
      <c r="D46" s="87"/>
      <c r="E46" s="29"/>
      <c r="F46" s="29"/>
      <c r="G46" s="29"/>
      <c r="H46" s="1"/>
    </row>
    <row r="47" spans="1:8" x14ac:dyDescent="0.35">
      <c r="A47" s="88" t="s">
        <v>28</v>
      </c>
      <c r="B47" s="89" t="s">
        <v>29</v>
      </c>
      <c r="C47" s="90">
        <v>10000</v>
      </c>
      <c r="D47" s="91">
        <v>45</v>
      </c>
      <c r="E47" s="29"/>
      <c r="F47" s="29"/>
      <c r="G47" s="29"/>
      <c r="H47" s="1"/>
    </row>
    <row r="48" spans="1:8" x14ac:dyDescent="0.35">
      <c r="A48" s="1"/>
      <c r="B48" s="92" t="s">
        <v>30</v>
      </c>
      <c r="C48" s="90">
        <v>10000</v>
      </c>
      <c r="D48" s="93">
        <v>25</v>
      </c>
      <c r="E48" s="29"/>
      <c r="F48" s="29"/>
      <c r="G48" s="29"/>
      <c r="H48" s="1"/>
    </row>
    <row r="49" spans="1:10" x14ac:dyDescent="0.35">
      <c r="A49" s="1"/>
      <c r="B49" s="6"/>
      <c r="C49" s="1"/>
      <c r="D49" s="78"/>
      <c r="E49" s="29"/>
      <c r="F49" s="29"/>
      <c r="G49" s="29"/>
      <c r="H49" s="2"/>
    </row>
    <row r="50" spans="1:10" x14ac:dyDescent="0.35">
      <c r="A50" s="7"/>
      <c r="B50" s="7"/>
      <c r="C50" s="10"/>
      <c r="D50" s="8"/>
      <c r="E50" s="9"/>
      <c r="F50" s="10"/>
      <c r="G50" s="94"/>
      <c r="H50" s="7"/>
    </row>
    <row r="51" spans="1:10" x14ac:dyDescent="0.35">
      <c r="A51" s="95" t="s">
        <v>31</v>
      </c>
      <c r="B51" s="96"/>
      <c r="C51" s="97"/>
      <c r="D51" s="98"/>
      <c r="E51" s="99"/>
      <c r="F51" s="100" t="s">
        <v>65</v>
      </c>
      <c r="G51" s="94"/>
      <c r="H51" s="11" t="s">
        <v>32</v>
      </c>
    </row>
    <row r="52" spans="1:10" x14ac:dyDescent="0.35">
      <c r="A52" s="1"/>
      <c r="B52" s="101"/>
      <c r="C52" s="75"/>
      <c r="D52" s="102"/>
      <c r="E52" s="99"/>
      <c r="F52" s="75"/>
      <c r="G52" s="103"/>
      <c r="H52" s="7"/>
    </row>
    <row r="53" spans="1:10" x14ac:dyDescent="0.35">
      <c r="A53" s="32" t="s">
        <v>33</v>
      </c>
      <c r="B53" s="33" t="s">
        <v>8</v>
      </c>
      <c r="C53" s="33" t="s">
        <v>4</v>
      </c>
      <c r="D53" s="33" t="s">
        <v>5</v>
      </c>
      <c r="E53" s="35" t="s">
        <v>6</v>
      </c>
      <c r="F53" s="104" t="s">
        <v>7</v>
      </c>
      <c r="G53" s="103"/>
      <c r="H53" s="12"/>
    </row>
    <row r="54" spans="1:10" x14ac:dyDescent="0.35">
      <c r="A54" s="44"/>
      <c r="B54" s="45" t="s">
        <v>11</v>
      </c>
      <c r="C54" s="45" t="s">
        <v>9</v>
      </c>
      <c r="D54" s="39" t="s">
        <v>9</v>
      </c>
      <c r="E54" s="41" t="s">
        <v>9</v>
      </c>
      <c r="F54" s="105" t="s">
        <v>10</v>
      </c>
      <c r="G54" s="106"/>
      <c r="H54" s="13" t="s">
        <v>34</v>
      </c>
    </row>
    <row r="55" spans="1:10" x14ac:dyDescent="0.35">
      <c r="A55" s="1"/>
      <c r="B55" s="6"/>
      <c r="C55" s="14" t="s">
        <v>14</v>
      </c>
      <c r="D55" s="45" t="s">
        <v>0</v>
      </c>
      <c r="E55" s="47" t="s">
        <v>0</v>
      </c>
      <c r="F55" s="107" t="s">
        <v>0</v>
      </c>
      <c r="G55" s="106"/>
      <c r="H55" s="15"/>
      <c r="J55" s="198"/>
    </row>
    <row r="56" spans="1:10" x14ac:dyDescent="0.35">
      <c r="A56" s="108">
        <v>8</v>
      </c>
      <c r="B56" s="109">
        <v>1</v>
      </c>
      <c r="C56" s="175">
        <v>29996</v>
      </c>
      <c r="D56" s="148">
        <f>C56/12</f>
        <v>2499.6666666666665</v>
      </c>
      <c r="E56" s="149">
        <f>SUM(C56/52.143)</f>
        <v>575.26417735841824</v>
      </c>
      <c r="F56" s="174">
        <f>SUM(C56/52.143)/37</f>
        <v>15.547680469146439</v>
      </c>
      <c r="G56" s="106"/>
      <c r="H56" s="188">
        <f>SUM(C56*113.81%)</f>
        <v>34138.447600000007</v>
      </c>
      <c r="J56" s="143"/>
    </row>
    <row r="57" spans="1:10" x14ac:dyDescent="0.35">
      <c r="A57" s="110"/>
      <c r="B57" s="111">
        <v>2</v>
      </c>
      <c r="C57" s="175">
        <v>30805</v>
      </c>
      <c r="D57" s="148">
        <f t="shared" ref="D57:D64" si="5">C57/12</f>
        <v>2567.0833333333335</v>
      </c>
      <c r="E57" s="149">
        <f t="shared" ref="E57:E65" si="6">SUM(C57/52.143)</f>
        <v>590.77920334464841</v>
      </c>
      <c r="F57" s="174">
        <f t="shared" ref="F57:F65" si="7">SUM(C57/52.143)/37</f>
        <v>15.967005495801308</v>
      </c>
      <c r="G57" s="106"/>
      <c r="H57" s="189">
        <f t="shared" ref="H57:H65" si="8">SUM(C57*113.81%)</f>
        <v>35059.1705</v>
      </c>
      <c r="J57" s="143"/>
    </row>
    <row r="58" spans="1:10" x14ac:dyDescent="0.35">
      <c r="A58" s="110"/>
      <c r="B58" s="111">
        <v>3</v>
      </c>
      <c r="C58" s="175">
        <v>31607</v>
      </c>
      <c r="D58" s="148">
        <f t="shared" si="5"/>
        <v>2633.9166666666665</v>
      </c>
      <c r="E58" s="149">
        <f t="shared" si="6"/>
        <v>606.15998312333386</v>
      </c>
      <c r="F58" s="174">
        <f t="shared" si="7"/>
        <v>16.382702246576592</v>
      </c>
      <c r="G58" s="106"/>
      <c r="H58" s="189">
        <f t="shared" si="8"/>
        <v>35971.926700000004</v>
      </c>
      <c r="J58" s="143"/>
    </row>
    <row r="59" spans="1:10" x14ac:dyDescent="0.35">
      <c r="A59" s="110"/>
      <c r="B59" s="111">
        <v>4</v>
      </c>
      <c r="C59" s="175">
        <v>32542</v>
      </c>
      <c r="D59" s="148">
        <f t="shared" si="5"/>
        <v>2711.8333333333335</v>
      </c>
      <c r="E59" s="149">
        <f t="shared" si="6"/>
        <v>624.09144084536752</v>
      </c>
      <c r="F59" s="174">
        <f t="shared" si="7"/>
        <v>16.867336239063988</v>
      </c>
      <c r="G59" s="106"/>
      <c r="H59" s="189">
        <f t="shared" si="8"/>
        <v>37036.050200000005</v>
      </c>
      <c r="J59" s="143"/>
    </row>
    <row r="60" spans="1:10" x14ac:dyDescent="0.35">
      <c r="A60" s="110"/>
      <c r="B60" s="111">
        <v>5</v>
      </c>
      <c r="C60" s="175">
        <v>33482</v>
      </c>
      <c r="D60" s="148">
        <f t="shared" si="5"/>
        <v>2790.1666666666665</v>
      </c>
      <c r="E60" s="149">
        <f t="shared" si="6"/>
        <v>642.11878871564738</v>
      </c>
      <c r="F60" s="174">
        <f t="shared" si="7"/>
        <v>17.354561857179657</v>
      </c>
      <c r="G60" s="106"/>
      <c r="H60" s="189">
        <f t="shared" si="8"/>
        <v>38105.864200000004</v>
      </c>
      <c r="J60" s="143"/>
    </row>
    <row r="61" spans="1:10" x14ac:dyDescent="0.35">
      <c r="A61" s="108">
        <v>7</v>
      </c>
      <c r="B61" s="109">
        <v>1</v>
      </c>
      <c r="C61" s="175">
        <v>34150</v>
      </c>
      <c r="D61" s="148">
        <f t="shared" si="5"/>
        <v>2845.8333333333335</v>
      </c>
      <c r="E61" s="149">
        <f t="shared" si="6"/>
        <v>654.92971252133555</v>
      </c>
      <c r="F61" s="174">
        <f t="shared" si="7"/>
        <v>17.700803041117176</v>
      </c>
      <c r="G61" s="106"/>
      <c r="H61" s="189">
        <f t="shared" si="8"/>
        <v>38866.115000000005</v>
      </c>
      <c r="J61" s="143"/>
    </row>
    <row r="62" spans="1:10" x14ac:dyDescent="0.35">
      <c r="A62" s="110"/>
      <c r="B62" s="111">
        <v>2</v>
      </c>
      <c r="C62" s="175">
        <v>35088</v>
      </c>
      <c r="D62" s="148">
        <f t="shared" si="5"/>
        <v>2924</v>
      </c>
      <c r="E62" s="149">
        <f t="shared" si="6"/>
        <v>672.91870433231691</v>
      </c>
      <c r="F62" s="174">
        <f t="shared" si="7"/>
        <v>18.186992008981537</v>
      </c>
      <c r="G62" s="106"/>
      <c r="H62" s="189">
        <f t="shared" si="8"/>
        <v>39933.652800000003</v>
      </c>
      <c r="J62" s="143"/>
    </row>
    <row r="63" spans="1:10" x14ac:dyDescent="0.35">
      <c r="A63" s="110"/>
      <c r="B63" s="111">
        <v>3</v>
      </c>
      <c r="C63" s="175">
        <v>36026</v>
      </c>
      <c r="D63" s="148">
        <f t="shared" si="5"/>
        <v>3002.1666666666665</v>
      </c>
      <c r="E63" s="149">
        <f t="shared" si="6"/>
        <v>690.90769614329827</v>
      </c>
      <c r="F63" s="174">
        <f t="shared" si="7"/>
        <v>18.673180976845899</v>
      </c>
      <c r="G63" s="106"/>
      <c r="H63" s="189">
        <f t="shared" si="8"/>
        <v>41001.190600000002</v>
      </c>
      <c r="J63" s="143"/>
    </row>
    <row r="64" spans="1:10" x14ac:dyDescent="0.35">
      <c r="A64" s="110"/>
      <c r="B64" s="111">
        <v>4</v>
      </c>
      <c r="C64" s="175">
        <v>36963</v>
      </c>
      <c r="D64" s="148">
        <f t="shared" si="5"/>
        <v>3080.25</v>
      </c>
      <c r="E64" s="149">
        <f t="shared" si="6"/>
        <v>708.87750992463032</v>
      </c>
      <c r="F64" s="174">
        <f t="shared" si="7"/>
        <v>19.158851619584603</v>
      </c>
      <c r="G64" s="106"/>
      <c r="H64" s="189">
        <f t="shared" si="8"/>
        <v>42067.590300000003</v>
      </c>
      <c r="J64" s="143"/>
    </row>
    <row r="65" spans="1:11" x14ac:dyDescent="0.35">
      <c r="A65" s="110"/>
      <c r="B65" s="111">
        <v>5</v>
      </c>
      <c r="C65" s="175">
        <v>37868</v>
      </c>
      <c r="D65" s="148">
        <f>C65/12</f>
        <v>3155.6666666666665</v>
      </c>
      <c r="E65" s="149">
        <f t="shared" si="6"/>
        <v>726.23362675718693</v>
      </c>
      <c r="F65" s="174">
        <f t="shared" si="7"/>
        <v>19.627935858302351</v>
      </c>
      <c r="G65" s="106"/>
      <c r="H65" s="190">
        <f t="shared" si="8"/>
        <v>43097.570800000001</v>
      </c>
      <c r="J65" s="143"/>
    </row>
    <row r="66" spans="1:11" x14ac:dyDescent="0.35">
      <c r="A66" s="1"/>
      <c r="B66" s="6"/>
      <c r="C66" s="112"/>
      <c r="D66" s="58"/>
      <c r="E66" s="58"/>
      <c r="F66" s="66"/>
      <c r="G66" s="106"/>
      <c r="H66" s="7"/>
      <c r="J66" s="143"/>
    </row>
    <row r="67" spans="1:11" x14ac:dyDescent="0.35">
      <c r="A67" s="1"/>
      <c r="B67" s="6"/>
      <c r="C67" s="67"/>
      <c r="D67" s="65"/>
      <c r="E67" s="65"/>
      <c r="F67" s="66"/>
      <c r="G67" s="106"/>
      <c r="H67" s="7"/>
      <c r="J67" s="143"/>
    </row>
    <row r="68" spans="1:11" x14ac:dyDescent="0.35">
      <c r="A68" s="113"/>
      <c r="B68" s="6"/>
      <c r="C68" s="67"/>
      <c r="D68" s="114"/>
      <c r="E68" s="115"/>
      <c r="F68" s="66"/>
      <c r="G68" s="106"/>
      <c r="H68" s="7"/>
      <c r="J68" s="143"/>
    </row>
    <row r="69" spans="1:11" x14ac:dyDescent="0.35">
      <c r="A69" s="7"/>
      <c r="B69" s="116"/>
      <c r="C69" s="117"/>
      <c r="D69" s="8"/>
      <c r="E69" s="118"/>
      <c r="F69" s="119"/>
      <c r="G69" s="94"/>
      <c r="H69" s="7"/>
      <c r="J69" s="143"/>
    </row>
    <row r="70" spans="1:11" ht="15" x14ac:dyDescent="0.4">
      <c r="A70" s="120" t="s">
        <v>35</v>
      </c>
      <c r="B70" s="121"/>
      <c r="C70" s="122"/>
      <c r="D70" s="123">
        <v>43191</v>
      </c>
      <c r="F70" s="124"/>
      <c r="G70" s="7"/>
      <c r="H70" s="16"/>
      <c r="J70" s="143"/>
    </row>
    <row r="71" spans="1:11" x14ac:dyDescent="0.35">
      <c r="A71" s="125"/>
      <c r="B71" s="126"/>
      <c r="C71" s="127"/>
      <c r="D71" s="421"/>
      <c r="E71" s="421"/>
      <c r="F71" s="128"/>
      <c r="G71" s="94"/>
      <c r="H71" s="7"/>
      <c r="J71" s="143"/>
    </row>
    <row r="72" spans="1:11" x14ac:dyDescent="0.35">
      <c r="A72" s="7"/>
      <c r="B72" s="129" t="s">
        <v>36</v>
      </c>
      <c r="C72" s="127"/>
      <c r="D72" s="421"/>
      <c r="E72" s="421"/>
      <c r="F72" s="130"/>
      <c r="G72" s="131"/>
      <c r="H72" s="7"/>
      <c r="J72" s="143"/>
    </row>
    <row r="73" spans="1:11" ht="26.5" x14ac:dyDescent="0.35">
      <c r="A73" s="7"/>
      <c r="B73" s="7"/>
      <c r="C73" s="117"/>
      <c r="D73" s="17" t="s">
        <v>37</v>
      </c>
      <c r="E73" s="18"/>
      <c r="F73" s="7"/>
      <c r="G73" s="131"/>
      <c r="H73" s="7"/>
      <c r="J73" s="143"/>
    </row>
    <row r="74" spans="1:11" x14ac:dyDescent="0.35">
      <c r="A74" s="132" t="s">
        <v>33</v>
      </c>
      <c r="B74" s="132" t="s">
        <v>38</v>
      </c>
      <c r="C74" s="133" t="s">
        <v>39</v>
      </c>
      <c r="D74" s="134" t="s">
        <v>38</v>
      </c>
      <c r="E74" s="135" t="s">
        <v>39</v>
      </c>
      <c r="F74" s="7"/>
      <c r="G74" s="131"/>
      <c r="H74" s="7"/>
      <c r="J74" s="198"/>
    </row>
    <row r="75" spans="1:11" x14ac:dyDescent="0.35">
      <c r="A75" s="136"/>
      <c r="B75" s="137"/>
      <c r="C75" s="138"/>
      <c r="D75" s="19"/>
      <c r="E75" s="20"/>
      <c r="F75" s="7"/>
      <c r="G75" s="131"/>
      <c r="H75" s="7"/>
      <c r="J75" s="143"/>
    </row>
    <row r="76" spans="1:11" x14ac:dyDescent="0.35">
      <c r="A76" s="139" t="s">
        <v>40</v>
      </c>
      <c r="B76" s="185">
        <v>73898</v>
      </c>
      <c r="C76" s="185">
        <v>98528</v>
      </c>
      <c r="D76" s="19">
        <f>SUM(B76/52.143/37)</f>
        <v>38.303190135650873</v>
      </c>
      <c r="E76" s="19">
        <f>SUM(C76/52.143/37)</f>
        <v>51.069537980532743</v>
      </c>
      <c r="F76" s="140"/>
      <c r="G76" s="131"/>
      <c r="I76" s="147"/>
      <c r="J76" s="143"/>
      <c r="K76" s="26"/>
    </row>
    <row r="77" spans="1:11" x14ac:dyDescent="0.35">
      <c r="A77" s="136"/>
      <c r="B77" s="185"/>
      <c r="C77" s="185"/>
      <c r="D77" s="19">
        <v>0</v>
      </c>
      <c r="E77" s="19">
        <v>0</v>
      </c>
      <c r="F77" s="140"/>
      <c r="G77" s="131"/>
      <c r="I77" s="147"/>
      <c r="J77" s="143"/>
      <c r="K77" s="26"/>
    </row>
    <row r="78" spans="1:11" x14ac:dyDescent="0.35">
      <c r="A78" s="132" t="s">
        <v>41</v>
      </c>
      <c r="B78" s="185">
        <v>67742</v>
      </c>
      <c r="C78" s="185">
        <v>78823</v>
      </c>
      <c r="D78" s="19">
        <f>SUM(B78/52.143/37)</f>
        <v>35.112380662118881</v>
      </c>
      <c r="E78" s="19">
        <f>SUM(C78/52.143/37)</f>
        <v>40.855941379501587</v>
      </c>
      <c r="F78" s="141"/>
      <c r="G78" s="131"/>
      <c r="I78" s="147"/>
      <c r="J78" s="143"/>
      <c r="K78" s="26"/>
    </row>
    <row r="79" spans="1:11" x14ac:dyDescent="0.35">
      <c r="A79" s="21"/>
      <c r="B79" s="185"/>
      <c r="C79" s="185"/>
      <c r="D79" s="19">
        <v>0</v>
      </c>
      <c r="E79" s="19">
        <v>0</v>
      </c>
      <c r="F79" s="22"/>
      <c r="G79" s="131"/>
      <c r="I79" s="147"/>
      <c r="J79" s="143"/>
      <c r="K79" s="26"/>
    </row>
    <row r="80" spans="1:11" x14ac:dyDescent="0.35">
      <c r="A80" s="132" t="s">
        <v>42</v>
      </c>
      <c r="B80" s="185">
        <v>60441</v>
      </c>
      <c r="C80" s="185">
        <v>66170</v>
      </c>
      <c r="D80" s="19">
        <f>SUM(B80/52.143/37)</f>
        <v>31.328088919711956</v>
      </c>
      <c r="E80" s="19">
        <f>SUM(C80/52.143/37)</f>
        <v>34.297573564589271</v>
      </c>
      <c r="F80" s="141"/>
      <c r="G80" s="131"/>
      <c r="I80" s="147"/>
      <c r="J80" s="143"/>
      <c r="K80" s="26"/>
    </row>
    <row r="81" spans="1:11" x14ac:dyDescent="0.35">
      <c r="A81" s="23"/>
      <c r="B81" s="185"/>
      <c r="C81" s="185"/>
      <c r="D81" s="19">
        <v>0</v>
      </c>
      <c r="E81" s="19">
        <v>0</v>
      </c>
      <c r="F81" s="24"/>
      <c r="G81" s="131"/>
      <c r="I81" s="147"/>
      <c r="J81" s="143"/>
      <c r="K81" s="26"/>
    </row>
    <row r="82" spans="1:11" x14ac:dyDescent="0.35">
      <c r="A82" s="132" t="s">
        <v>43</v>
      </c>
      <c r="B82" s="185">
        <v>54024</v>
      </c>
      <c r="C82" s="185">
        <v>58989</v>
      </c>
      <c r="D82" s="19">
        <f>SUM(B82/52.143/37)</f>
        <v>28.001996588384021</v>
      </c>
      <c r="E82" s="19">
        <f>SUM(C82/52.143/37)</f>
        <v>30.575480837260944</v>
      </c>
      <c r="F82" s="141"/>
      <c r="G82" s="131"/>
      <c r="I82" s="147"/>
      <c r="J82" s="143"/>
      <c r="K82" s="26"/>
    </row>
    <row r="83" spans="1:11" x14ac:dyDescent="0.35">
      <c r="A83" s="23"/>
      <c r="B83" s="185"/>
      <c r="C83" s="185"/>
      <c r="D83" s="19">
        <v>0</v>
      </c>
      <c r="E83" s="19">
        <v>0</v>
      </c>
      <c r="F83" s="131"/>
      <c r="I83" s="147"/>
      <c r="J83" s="143"/>
      <c r="K83" s="26"/>
    </row>
    <row r="84" spans="1:11" x14ac:dyDescent="0.35">
      <c r="A84" s="132" t="s">
        <v>44</v>
      </c>
      <c r="B84" s="185">
        <v>48021</v>
      </c>
      <c r="C84" s="185">
        <v>52515</v>
      </c>
      <c r="D84" s="19">
        <f>SUM(B84/52.143/37)</f>
        <v>24.890490859077246</v>
      </c>
      <c r="E84" s="19">
        <f>SUM(C84/52.143/37)</f>
        <v>27.219843973770672</v>
      </c>
      <c r="F84" s="141"/>
      <c r="G84" s="131"/>
      <c r="I84" s="147"/>
      <c r="J84" s="143"/>
      <c r="K84" s="26"/>
    </row>
    <row r="85" spans="1:11" x14ac:dyDescent="0.35">
      <c r="A85" s="23"/>
      <c r="B85" s="185"/>
      <c r="C85" s="185"/>
      <c r="D85" s="19">
        <v>0</v>
      </c>
      <c r="E85" s="19">
        <v>0</v>
      </c>
      <c r="F85" s="24"/>
      <c r="G85" s="131"/>
      <c r="I85" s="147"/>
      <c r="J85" s="143"/>
      <c r="K85" s="26"/>
    </row>
    <row r="86" spans="1:11" x14ac:dyDescent="0.35">
      <c r="A86" s="132" t="s">
        <v>45</v>
      </c>
      <c r="B86" s="185">
        <v>43791</v>
      </c>
      <c r="C86" s="185">
        <v>47861</v>
      </c>
      <c r="D86" s="19">
        <f>SUM(B86/52.143/37)</f>
        <v>22.697975577556729</v>
      </c>
      <c r="E86" s="19">
        <f>SUM(C86/52.143/37)</f>
        <v>24.807558838972451</v>
      </c>
      <c r="F86" s="141"/>
      <c r="G86" s="131"/>
      <c r="I86" s="147"/>
      <c r="J86" s="143"/>
      <c r="K86" s="26"/>
    </row>
    <row r="87" spans="1:11" x14ac:dyDescent="0.35">
      <c r="A87" s="23"/>
      <c r="B87" s="185"/>
      <c r="C87" s="185"/>
      <c r="D87" s="19">
        <v>0</v>
      </c>
      <c r="E87" s="19">
        <v>0</v>
      </c>
      <c r="F87" s="24"/>
      <c r="G87" s="131"/>
      <c r="H87" s="131"/>
      <c r="I87" s="147"/>
      <c r="J87" s="143"/>
    </row>
    <row r="88" spans="1:11" x14ac:dyDescent="0.35">
      <c r="A88" s="134" t="s">
        <v>46</v>
      </c>
      <c r="B88" s="186">
        <v>39964</v>
      </c>
      <c r="C88" s="187">
        <v>43650</v>
      </c>
      <c r="D88" s="19">
        <f>SUM(B88/52.143/37)</f>
        <v>20.714345321675165</v>
      </c>
      <c r="E88" s="19">
        <f>SUM(C88/52.143/37)</f>
        <v>22.624891734839377</v>
      </c>
      <c r="F88" s="141"/>
      <c r="G88" s="131"/>
      <c r="H88" s="131"/>
      <c r="I88" s="147"/>
      <c r="J88" s="143"/>
    </row>
    <row r="89" spans="1:11" x14ac:dyDescent="0.35">
      <c r="A89" s="7"/>
      <c r="B89" s="10"/>
      <c r="C89" s="10"/>
      <c r="D89" s="8"/>
      <c r="E89" s="9"/>
      <c r="F89" s="10"/>
      <c r="G89" s="142"/>
      <c r="H89" s="7"/>
    </row>
  </sheetData>
  <mergeCells count="1">
    <mergeCell ref="D71:E7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3DDA9-FE96-4928-9234-545969B8F989}">
  <sheetPr>
    <pageSetUpPr fitToPage="1"/>
  </sheetPr>
  <dimension ref="A1:P105"/>
  <sheetViews>
    <sheetView workbookViewId="0">
      <pane ySplit="6" topLeftCell="A7" activePane="bottomLeft" state="frozen"/>
      <selection pane="bottomLeft" activeCell="I8" sqref="I8"/>
    </sheetView>
  </sheetViews>
  <sheetFormatPr defaultColWidth="9.1796875" defaultRowHeight="14.5" x14ac:dyDescent="0.35"/>
  <cols>
    <col min="1" max="1" width="31.54296875" style="26" customWidth="1"/>
    <col min="2" max="2" width="21" style="26" customWidth="1"/>
    <col min="3" max="3" width="11.453125" style="26" customWidth="1"/>
    <col min="4" max="4" width="11.26953125" style="26" customWidth="1"/>
    <col min="5" max="5" width="11" style="26" customWidth="1"/>
    <col min="6" max="6" width="11.7265625" style="26" customWidth="1"/>
    <col min="7" max="7" width="11.1796875" style="26" customWidth="1"/>
    <col min="8" max="8" width="8.81640625" style="26" customWidth="1"/>
    <col min="9" max="9" width="20.26953125" style="26" bestFit="1" customWidth="1"/>
    <col min="10" max="10" width="18.81640625" style="199" customWidth="1"/>
    <col min="11" max="11" width="14.1796875" style="200" customWidth="1"/>
    <col min="12" max="12" width="13.1796875" style="201" customWidth="1"/>
    <col min="13" max="13" width="10.54296875" style="201" bestFit="1" customWidth="1"/>
    <col min="14" max="14" width="11.54296875" style="200" bestFit="1" customWidth="1"/>
    <col min="15" max="17" width="10.54296875" style="26" bestFit="1" customWidth="1"/>
    <col min="18" max="16384" width="9.1796875" style="26"/>
  </cols>
  <sheetData>
    <row r="1" spans="1:16" ht="18" x14ac:dyDescent="0.4">
      <c r="A1" s="1"/>
      <c r="B1" s="1"/>
      <c r="C1" s="6"/>
      <c r="D1" s="146" t="s">
        <v>51</v>
      </c>
      <c r="E1" s="145"/>
      <c r="F1" s="1"/>
      <c r="G1" s="1"/>
      <c r="H1" s="2"/>
      <c r="I1" s="25"/>
      <c r="L1" s="146" t="s">
        <v>51</v>
      </c>
    </row>
    <row r="2" spans="1:16" x14ac:dyDescent="0.35">
      <c r="A2" s="1" t="s">
        <v>53</v>
      </c>
      <c r="B2" s="1" t="s">
        <v>52</v>
      </c>
      <c r="C2" s="6"/>
      <c r="D2" s="1"/>
      <c r="E2" s="27"/>
      <c r="F2" s="1"/>
      <c r="G2" s="1"/>
      <c r="H2" s="1"/>
      <c r="I2" s="28"/>
    </row>
    <row r="3" spans="1:16" ht="15" thickBot="1" x14ac:dyDescent="0.4">
      <c r="A3" s="1"/>
      <c r="B3" s="1"/>
      <c r="C3" s="6"/>
      <c r="D3" s="30"/>
      <c r="E3" s="31"/>
      <c r="F3" s="1"/>
      <c r="G3" s="1"/>
      <c r="H3" s="2"/>
      <c r="I3" s="30"/>
    </row>
    <row r="4" spans="1:16" x14ac:dyDescent="0.35">
      <c r="A4" s="312" t="s">
        <v>2</v>
      </c>
      <c r="B4" s="313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  <c r="J4" s="423" t="s">
        <v>64</v>
      </c>
      <c r="K4" s="424" t="s">
        <v>54</v>
      </c>
      <c r="L4" s="425" t="s">
        <v>55</v>
      </c>
      <c r="M4" s="308" t="s">
        <v>5</v>
      </c>
      <c r="N4" s="205" t="s">
        <v>6</v>
      </c>
      <c r="O4" s="205" t="s">
        <v>7</v>
      </c>
      <c r="P4" s="205" t="s">
        <v>7</v>
      </c>
    </row>
    <row r="5" spans="1:16" x14ac:dyDescent="0.35">
      <c r="A5" s="318" t="s">
        <v>8</v>
      </c>
      <c r="B5" s="206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  <c r="J5" s="423"/>
      <c r="K5" s="424"/>
      <c r="L5" s="425"/>
      <c r="M5" s="309" t="s">
        <v>9</v>
      </c>
      <c r="N5" s="210" t="s">
        <v>9</v>
      </c>
      <c r="O5" s="210" t="s">
        <v>10</v>
      </c>
      <c r="P5" s="210" t="s">
        <v>10</v>
      </c>
    </row>
    <row r="6" spans="1:16" ht="15" thickBot="1" x14ac:dyDescent="0.4">
      <c r="A6" s="318" t="s">
        <v>11</v>
      </c>
      <c r="B6" s="206" t="s">
        <v>11</v>
      </c>
      <c r="C6" s="207"/>
      <c r="D6" s="207" t="s">
        <v>0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  <c r="J6" s="423"/>
      <c r="K6" s="424"/>
      <c r="L6" s="425"/>
      <c r="M6" s="213" t="s">
        <v>0</v>
      </c>
      <c r="N6" s="213" t="s">
        <v>0</v>
      </c>
      <c r="O6" s="213" t="s">
        <v>0</v>
      </c>
      <c r="P6" s="213" t="s">
        <v>12</v>
      </c>
    </row>
    <row r="7" spans="1:16" ht="15.75" customHeight="1" thickBot="1" x14ac:dyDescent="0.4">
      <c r="A7" s="277" t="s">
        <v>13</v>
      </c>
      <c r="B7" s="277" t="s">
        <v>57</v>
      </c>
      <c r="C7" s="278" t="s">
        <v>14</v>
      </c>
      <c r="D7" s="278" t="s">
        <v>14</v>
      </c>
      <c r="E7" s="278" t="s">
        <v>14</v>
      </c>
      <c r="F7" s="279" t="s">
        <v>14</v>
      </c>
      <c r="G7" s="279" t="s">
        <v>14</v>
      </c>
      <c r="H7" s="279" t="s">
        <v>14</v>
      </c>
      <c r="I7" s="29"/>
      <c r="J7" s="215">
        <v>1</v>
      </c>
      <c r="K7" s="216">
        <f>C8</f>
        <v>17364</v>
      </c>
      <c r="L7" s="217">
        <f>D8</f>
        <v>18666</v>
      </c>
      <c r="M7" s="218">
        <f t="shared" ref="M7:M28" si="0">L7/12</f>
        <v>1555.5</v>
      </c>
      <c r="N7" s="219">
        <f t="shared" ref="N7:N28" si="1">SUM(L7/52.143)</f>
        <v>357.97710143259883</v>
      </c>
      <c r="O7" s="220">
        <f t="shared" ref="O7:O28" si="2">SUM($L7/52.143)/37</f>
        <v>9.6750567954756441</v>
      </c>
      <c r="P7" s="220">
        <f t="shared" ref="P7:P28" si="3">SUM($L7/52.143)/37*1.1381</f>
        <v>11.011182138930829</v>
      </c>
    </row>
    <row r="8" spans="1:16" x14ac:dyDescent="0.35">
      <c r="A8" s="321">
        <v>6</v>
      </c>
      <c r="B8" s="54">
        <v>1</v>
      </c>
      <c r="C8" s="177">
        <v>17364</v>
      </c>
      <c r="D8" s="223">
        <f>ROUND((C8*1.075),0)</f>
        <v>18666</v>
      </c>
      <c r="E8" s="151">
        <f>D8/12</f>
        <v>1555.5</v>
      </c>
      <c r="F8" s="152">
        <f>SUM(D8/52.143)</f>
        <v>357.97710143259883</v>
      </c>
      <c r="G8" s="163">
        <f>SUM($D8/52.143)/37</f>
        <v>9.6750567954756441</v>
      </c>
      <c r="H8" s="322">
        <f>SUM($D8/52.143)/37*1.1381</f>
        <v>11.011182138930829</v>
      </c>
      <c r="I8" s="311">
        <f>C8*102.75%</f>
        <v>17841.510000000002</v>
      </c>
      <c r="J8" s="215">
        <v>2</v>
      </c>
      <c r="K8" s="216">
        <f>C12</f>
        <v>17711</v>
      </c>
      <c r="L8" s="217">
        <f>D12</f>
        <v>19039</v>
      </c>
      <c r="M8" s="218">
        <f t="shared" si="0"/>
        <v>1586.5833333333333</v>
      </c>
      <c r="N8" s="219">
        <f t="shared" si="1"/>
        <v>365.13050649176301</v>
      </c>
      <c r="O8" s="220">
        <f t="shared" si="2"/>
        <v>9.8683920673449457</v>
      </c>
      <c r="P8" s="220">
        <f t="shared" si="3"/>
        <v>11.231217011845281</v>
      </c>
    </row>
    <row r="9" spans="1:16" x14ac:dyDescent="0.35">
      <c r="A9" s="321">
        <v>7</v>
      </c>
      <c r="B9" s="92">
        <v>1</v>
      </c>
      <c r="C9" s="307"/>
      <c r="D9" s="307"/>
      <c r="E9" s="307"/>
      <c r="F9" s="307"/>
      <c r="G9" s="307"/>
      <c r="H9" s="323"/>
      <c r="I9" s="311">
        <f t="shared" ref="I9:J45" si="4">C9*102.75%</f>
        <v>0</v>
      </c>
      <c r="J9" s="215">
        <v>3</v>
      </c>
      <c r="K9" s="216">
        <f>C14</f>
        <v>18065</v>
      </c>
      <c r="L9" s="217">
        <f>D14</f>
        <v>19420</v>
      </c>
      <c r="M9" s="218">
        <f t="shared" si="0"/>
        <v>1618.3333333333333</v>
      </c>
      <c r="N9" s="219">
        <f t="shared" si="1"/>
        <v>372.43733578812112</v>
      </c>
      <c r="O9" s="220">
        <f t="shared" si="2"/>
        <v>10.06587394021949</v>
      </c>
      <c r="P9" s="220">
        <f t="shared" si="3"/>
        <v>11.4559711313638</v>
      </c>
    </row>
    <row r="10" spans="1:16" ht="15" thickBot="1" x14ac:dyDescent="0.4">
      <c r="A10" s="324">
        <v>8</v>
      </c>
      <c r="B10" s="57">
        <v>2</v>
      </c>
      <c r="C10" s="225">
        <f t="shared" ref="C10:H10" si="5">C12</f>
        <v>17711</v>
      </c>
      <c r="D10" s="225">
        <f t="shared" si="5"/>
        <v>19039</v>
      </c>
      <c r="E10" s="226">
        <f t="shared" si="5"/>
        <v>1586.5833333333333</v>
      </c>
      <c r="F10" s="227">
        <f t="shared" si="5"/>
        <v>365.13050649176301</v>
      </c>
      <c r="G10" s="228">
        <f t="shared" si="5"/>
        <v>9.8683920673449457</v>
      </c>
      <c r="H10" s="325">
        <f t="shared" si="5"/>
        <v>11.231217011845281</v>
      </c>
      <c r="I10" s="311">
        <f t="shared" si="4"/>
        <v>18198.052500000002</v>
      </c>
      <c r="J10" s="215">
        <v>4</v>
      </c>
      <c r="K10" s="216">
        <f>C18</f>
        <v>18426</v>
      </c>
      <c r="L10" s="217">
        <f>D18</f>
        <v>19808</v>
      </c>
      <c r="M10" s="218">
        <f t="shared" si="0"/>
        <v>1650.6666666666667</v>
      </c>
      <c r="N10" s="219">
        <f t="shared" si="1"/>
        <v>379.87841129202383</v>
      </c>
      <c r="O10" s="220">
        <f t="shared" si="2"/>
        <v>10.266984088973617</v>
      </c>
      <c r="P10" s="220">
        <f t="shared" si="3"/>
        <v>11.684854591660873</v>
      </c>
    </row>
    <row r="11" spans="1:16" ht="15" thickBot="1" x14ac:dyDescent="0.4">
      <c r="A11" s="326"/>
      <c r="B11" s="277" t="s">
        <v>58</v>
      </c>
      <c r="C11" s="280"/>
      <c r="D11" s="281"/>
      <c r="E11" s="282"/>
      <c r="F11" s="282"/>
      <c r="G11" s="283"/>
      <c r="H11" s="327"/>
      <c r="I11" s="311">
        <f t="shared" si="4"/>
        <v>0</v>
      </c>
      <c r="J11" s="215">
        <v>5</v>
      </c>
      <c r="K11" s="216">
        <f>C20</f>
        <v>18795</v>
      </c>
      <c r="L11" s="217">
        <f>D20</f>
        <v>20205</v>
      </c>
      <c r="M11" s="218">
        <f t="shared" si="0"/>
        <v>1683.75</v>
      </c>
      <c r="N11" s="219">
        <f t="shared" si="1"/>
        <v>387.49208906276971</v>
      </c>
      <c r="O11" s="220">
        <f t="shared" si="2"/>
        <v>10.47275916385864</v>
      </c>
      <c r="P11" s="220">
        <f t="shared" si="3"/>
        <v>11.919047204387518</v>
      </c>
    </row>
    <row r="12" spans="1:16" x14ac:dyDescent="0.35">
      <c r="A12" s="321">
        <v>9</v>
      </c>
      <c r="B12" s="54">
        <v>2</v>
      </c>
      <c r="C12" s="183">
        <v>17711</v>
      </c>
      <c r="D12" s="180">
        <f>ROUND((C12*1.075),0)</f>
        <v>19039</v>
      </c>
      <c r="E12" s="157">
        <f>D12/12</f>
        <v>1586.5833333333333</v>
      </c>
      <c r="F12" s="158">
        <f>SUM(D12/52.143)</f>
        <v>365.13050649176301</v>
      </c>
      <c r="G12" s="170">
        <f t="shared" ref="G12:G18" si="6">SUM($D12/52.143)/37</f>
        <v>9.8683920673449457</v>
      </c>
      <c r="H12" s="328">
        <f>SUM($D12/52.143)/37*1.1381</f>
        <v>11.231217011845281</v>
      </c>
      <c r="I12" s="311">
        <f t="shared" si="4"/>
        <v>18198.052500000002</v>
      </c>
      <c r="J12" s="215">
        <v>6</v>
      </c>
      <c r="K12" s="216">
        <f>C23</f>
        <v>19171</v>
      </c>
      <c r="L12" s="217">
        <f>D23</f>
        <v>20609</v>
      </c>
      <c r="M12" s="218">
        <f t="shared" si="0"/>
        <v>1717.4166666666667</v>
      </c>
      <c r="N12" s="219">
        <f t="shared" si="1"/>
        <v>395.24001304106014</v>
      </c>
      <c r="O12" s="220">
        <f t="shared" si="2"/>
        <v>10.682162514623247</v>
      </c>
      <c r="P12" s="220">
        <f t="shared" si="3"/>
        <v>12.157369157892717</v>
      </c>
    </row>
    <row r="13" spans="1:16" x14ac:dyDescent="0.35">
      <c r="A13" s="321">
        <v>10</v>
      </c>
      <c r="B13" s="54">
        <v>3</v>
      </c>
      <c r="C13" s="176"/>
      <c r="D13" s="175"/>
      <c r="E13" s="149"/>
      <c r="F13" s="150"/>
      <c r="G13" s="161"/>
      <c r="H13" s="329"/>
      <c r="I13" s="311">
        <f t="shared" si="4"/>
        <v>0</v>
      </c>
      <c r="J13" s="215">
        <v>7</v>
      </c>
      <c r="K13" s="216">
        <f t="shared" ref="K13:L17" si="7">C25</f>
        <v>19554</v>
      </c>
      <c r="L13" s="217">
        <f t="shared" si="7"/>
        <v>21021</v>
      </c>
      <c r="M13" s="218">
        <f t="shared" si="0"/>
        <v>1751.75</v>
      </c>
      <c r="N13" s="219">
        <f t="shared" si="1"/>
        <v>403.14136125654449</v>
      </c>
      <c r="O13" s="220">
        <f t="shared" si="2"/>
        <v>10.895712466393094</v>
      </c>
      <c r="P13" s="220">
        <f t="shared" si="3"/>
        <v>12.400410358001979</v>
      </c>
    </row>
    <row r="14" spans="1:16" ht="15" thickBot="1" x14ac:dyDescent="0.4">
      <c r="A14" s="324">
        <v>11</v>
      </c>
      <c r="B14" s="57">
        <v>3</v>
      </c>
      <c r="C14" s="177">
        <v>18065</v>
      </c>
      <c r="D14" s="223">
        <f>ROUND((C14*1.075),0)</f>
        <v>19420</v>
      </c>
      <c r="E14" s="151">
        <f>D14/12</f>
        <v>1618.3333333333333</v>
      </c>
      <c r="F14" s="152">
        <f>SUM(D14/52.143)</f>
        <v>372.43733578812112</v>
      </c>
      <c r="G14" s="163">
        <f t="shared" si="6"/>
        <v>10.06587394021949</v>
      </c>
      <c r="H14" s="322">
        <f>SUM($D14/52.143)/37*1.1381</f>
        <v>11.4559711313638</v>
      </c>
      <c r="I14" s="311">
        <f t="shared" si="4"/>
        <v>18561.787500000002</v>
      </c>
      <c r="J14" s="215">
        <v>8</v>
      </c>
      <c r="K14" s="216">
        <f t="shared" si="7"/>
        <v>19945</v>
      </c>
      <c r="L14" s="217">
        <f t="shared" si="7"/>
        <v>21441</v>
      </c>
      <c r="M14" s="218">
        <f t="shared" si="0"/>
        <v>1786.75</v>
      </c>
      <c r="N14" s="219">
        <f t="shared" si="1"/>
        <v>411.19613370922269</v>
      </c>
      <c r="O14" s="220">
        <f t="shared" si="2"/>
        <v>11.113409019168181</v>
      </c>
      <c r="P14" s="220">
        <f t="shared" si="3"/>
        <v>12.648170804715305</v>
      </c>
    </row>
    <row r="15" spans="1:16" ht="15" thickBot="1" x14ac:dyDescent="0.4">
      <c r="A15" s="330"/>
      <c r="B15" s="277" t="s">
        <v>59</v>
      </c>
      <c r="C15" s="280"/>
      <c r="D15" s="281"/>
      <c r="E15" s="282"/>
      <c r="F15" s="282"/>
      <c r="G15" s="283"/>
      <c r="H15" s="327"/>
      <c r="I15" s="311">
        <f t="shared" si="4"/>
        <v>0</v>
      </c>
      <c r="J15" s="215">
        <v>9</v>
      </c>
      <c r="K15" s="216">
        <f t="shared" si="7"/>
        <v>20344</v>
      </c>
      <c r="L15" s="217">
        <f t="shared" si="7"/>
        <v>21870</v>
      </c>
      <c r="M15" s="218">
        <f t="shared" si="0"/>
        <v>1822.5</v>
      </c>
      <c r="N15" s="219">
        <f t="shared" si="1"/>
        <v>419.42350842874401</v>
      </c>
      <c r="O15" s="220">
        <f t="shared" si="2"/>
        <v>11.335770498074163</v>
      </c>
      <c r="P15" s="220">
        <f t="shared" si="3"/>
        <v>12.901240403858203</v>
      </c>
    </row>
    <row r="16" spans="1:16" x14ac:dyDescent="0.35">
      <c r="A16" s="321">
        <v>11</v>
      </c>
      <c r="B16" s="54">
        <v>3</v>
      </c>
      <c r="C16" s="183">
        <f t="shared" ref="C16:H16" si="8">C14</f>
        <v>18065</v>
      </c>
      <c r="D16" s="183">
        <f t="shared" si="8"/>
        <v>19420</v>
      </c>
      <c r="E16" s="285">
        <f t="shared" si="8"/>
        <v>1618.3333333333333</v>
      </c>
      <c r="F16" s="285">
        <f t="shared" si="8"/>
        <v>372.43733578812112</v>
      </c>
      <c r="G16" s="284">
        <f t="shared" si="8"/>
        <v>10.06587394021949</v>
      </c>
      <c r="H16" s="331">
        <f t="shared" si="8"/>
        <v>11.4559711313638</v>
      </c>
      <c r="I16" s="311">
        <f t="shared" si="4"/>
        <v>18561.787500000002</v>
      </c>
      <c r="J16" s="215">
        <v>10</v>
      </c>
      <c r="K16" s="216">
        <f t="shared" si="7"/>
        <v>20751</v>
      </c>
      <c r="L16" s="217">
        <f t="shared" si="7"/>
        <v>22307</v>
      </c>
      <c r="M16" s="218">
        <f t="shared" si="0"/>
        <v>1858.9166666666667</v>
      </c>
      <c r="N16" s="219">
        <f t="shared" si="1"/>
        <v>427.8043073854592</v>
      </c>
      <c r="O16" s="220">
        <f t="shared" si="2"/>
        <v>11.562278577985383</v>
      </c>
      <c r="P16" s="220">
        <f t="shared" si="3"/>
        <v>13.159029249605164</v>
      </c>
    </row>
    <row r="17" spans="1:16" x14ac:dyDescent="0.35">
      <c r="A17" s="321">
        <v>12</v>
      </c>
      <c r="B17" s="54">
        <v>4</v>
      </c>
      <c r="C17" s="176"/>
      <c r="D17" s="175"/>
      <c r="E17" s="149"/>
      <c r="F17" s="150"/>
      <c r="G17" s="161"/>
      <c r="H17" s="329"/>
      <c r="I17" s="311">
        <f t="shared" si="4"/>
        <v>0</v>
      </c>
      <c r="J17" s="215">
        <v>11</v>
      </c>
      <c r="K17" s="216">
        <f t="shared" si="7"/>
        <v>21166</v>
      </c>
      <c r="L17" s="217">
        <f t="shared" si="7"/>
        <v>22753</v>
      </c>
      <c r="M17" s="218">
        <f t="shared" si="0"/>
        <v>1896.0833333333333</v>
      </c>
      <c r="N17" s="219">
        <f t="shared" si="1"/>
        <v>436.35770860901749</v>
      </c>
      <c r="O17" s="220">
        <f t="shared" si="2"/>
        <v>11.793451584027499</v>
      </c>
      <c r="P17" s="220">
        <f t="shared" si="3"/>
        <v>13.422127247781695</v>
      </c>
    </row>
    <row r="18" spans="1:16" ht="15" thickBot="1" x14ac:dyDescent="0.4">
      <c r="A18" s="332">
        <v>13</v>
      </c>
      <c r="B18" s="61">
        <v>4</v>
      </c>
      <c r="C18" s="178">
        <v>18426</v>
      </c>
      <c r="D18" s="178">
        <f>ROUND((C18*1.075),0)</f>
        <v>19808</v>
      </c>
      <c r="E18" s="159">
        <f>D18/12</f>
        <v>1650.6666666666667</v>
      </c>
      <c r="F18" s="160">
        <f>SUM(D18/52.143)</f>
        <v>379.87841129202383</v>
      </c>
      <c r="G18" s="172">
        <f t="shared" si="6"/>
        <v>10.266984088973617</v>
      </c>
      <c r="H18" s="333">
        <f>SUM($D18/52.143)/37*1.1381</f>
        <v>11.684854591660873</v>
      </c>
      <c r="I18" s="311">
        <f t="shared" si="4"/>
        <v>18932.715</v>
      </c>
      <c r="J18" s="215">
        <v>12</v>
      </c>
      <c r="K18" s="216">
        <f t="shared" ref="K18:L23" si="9">C31</f>
        <v>21589</v>
      </c>
      <c r="L18" s="217">
        <f t="shared" si="9"/>
        <v>23208</v>
      </c>
      <c r="M18" s="218">
        <f t="shared" si="0"/>
        <v>1934</v>
      </c>
      <c r="N18" s="219">
        <f t="shared" si="1"/>
        <v>445.0837120994189</v>
      </c>
      <c r="O18" s="220">
        <f t="shared" si="2"/>
        <v>12.02928951620051</v>
      </c>
      <c r="P18" s="220">
        <f t="shared" si="3"/>
        <v>13.690534398387799</v>
      </c>
    </row>
    <row r="19" spans="1:16" ht="15" thickBot="1" x14ac:dyDescent="0.4">
      <c r="A19" s="277" t="s">
        <v>15</v>
      </c>
      <c r="B19" s="277" t="s">
        <v>15</v>
      </c>
      <c r="C19" s="291"/>
      <c r="D19" s="292"/>
      <c r="E19" s="289"/>
      <c r="F19" s="289"/>
      <c r="G19" s="290"/>
      <c r="H19" s="293"/>
      <c r="I19" s="311">
        <f t="shared" si="4"/>
        <v>0</v>
      </c>
      <c r="J19" s="215">
        <v>13</v>
      </c>
      <c r="K19" s="216">
        <f t="shared" si="9"/>
        <v>22021</v>
      </c>
      <c r="L19" s="217">
        <f t="shared" si="9"/>
        <v>23673</v>
      </c>
      <c r="M19" s="218">
        <f t="shared" si="0"/>
        <v>1972.75</v>
      </c>
      <c r="N19" s="219">
        <f t="shared" si="1"/>
        <v>454.00149588631263</v>
      </c>
      <c r="O19" s="220">
        <f t="shared" si="2"/>
        <v>12.270310699630071</v>
      </c>
      <c r="P19" s="220">
        <f t="shared" si="3"/>
        <v>13.964840607248982</v>
      </c>
    </row>
    <row r="20" spans="1:16" x14ac:dyDescent="0.35">
      <c r="A20" s="321">
        <v>14</v>
      </c>
      <c r="B20" s="54">
        <v>5</v>
      </c>
      <c r="C20" s="177">
        <v>18795</v>
      </c>
      <c r="D20" s="223">
        <f>ROUND((C20*1.075),0)</f>
        <v>20205</v>
      </c>
      <c r="E20" s="151">
        <f>D20/12</f>
        <v>1683.75</v>
      </c>
      <c r="F20" s="152">
        <f>SUM(D20/52.143)</f>
        <v>387.49208906276971</v>
      </c>
      <c r="G20" s="163">
        <f>SUM($D20/52.143)/37</f>
        <v>10.47275916385864</v>
      </c>
      <c r="H20" s="322">
        <f>SUM($D20/52.143)/37*1.1381</f>
        <v>11.919047204387518</v>
      </c>
      <c r="I20" s="311">
        <f t="shared" si="4"/>
        <v>19311.862500000003</v>
      </c>
      <c r="J20" s="215">
        <v>14</v>
      </c>
      <c r="K20" s="216">
        <f t="shared" si="9"/>
        <v>22462</v>
      </c>
      <c r="L20" s="217">
        <f t="shared" si="9"/>
        <v>24147</v>
      </c>
      <c r="M20" s="218">
        <f t="shared" si="0"/>
        <v>2012.25</v>
      </c>
      <c r="N20" s="219">
        <f t="shared" si="1"/>
        <v>463.09188194004946</v>
      </c>
      <c r="O20" s="220">
        <f t="shared" si="2"/>
        <v>12.515996809190526</v>
      </c>
      <c r="P20" s="220">
        <f t="shared" si="3"/>
        <v>14.244455968539736</v>
      </c>
    </row>
    <row r="21" spans="1:16" x14ac:dyDescent="0.35">
      <c r="A21" s="321">
        <v>15</v>
      </c>
      <c r="B21" s="92">
        <v>5</v>
      </c>
      <c r="C21" s="307"/>
      <c r="D21" s="307"/>
      <c r="E21" s="307"/>
      <c r="F21" s="307"/>
      <c r="G21" s="307"/>
      <c r="H21" s="323"/>
      <c r="I21" s="311">
        <f t="shared" si="4"/>
        <v>0</v>
      </c>
      <c r="J21" s="215">
        <v>15</v>
      </c>
      <c r="K21" s="216">
        <f t="shared" si="9"/>
        <v>22911</v>
      </c>
      <c r="L21" s="217">
        <f t="shared" si="9"/>
        <v>24629</v>
      </c>
      <c r="M21" s="218">
        <f t="shared" si="0"/>
        <v>2052.4166666666665</v>
      </c>
      <c r="N21" s="219">
        <f t="shared" si="1"/>
        <v>472.33569223098016</v>
      </c>
      <c r="O21" s="220">
        <f t="shared" si="2"/>
        <v>12.76582951975622</v>
      </c>
      <c r="P21" s="220">
        <f t="shared" si="3"/>
        <v>14.528790576434552</v>
      </c>
    </row>
    <row r="22" spans="1:16" x14ac:dyDescent="0.35">
      <c r="A22" s="321">
        <v>16</v>
      </c>
      <c r="B22" s="54">
        <v>6</v>
      </c>
      <c r="C22" s="183"/>
      <c r="D22" s="180"/>
      <c r="E22" s="157"/>
      <c r="F22" s="158"/>
      <c r="G22" s="170"/>
      <c r="H22" s="328"/>
      <c r="I22" s="311">
        <f t="shared" si="4"/>
        <v>0</v>
      </c>
      <c r="J22" s="215">
        <v>16</v>
      </c>
      <c r="K22" s="216">
        <f t="shared" si="9"/>
        <v>23369</v>
      </c>
      <c r="L22" s="217">
        <f t="shared" si="9"/>
        <v>25122</v>
      </c>
      <c r="M22" s="218">
        <f t="shared" si="0"/>
        <v>2093.5</v>
      </c>
      <c r="N22" s="219">
        <f t="shared" si="1"/>
        <v>481.79046084805248</v>
      </c>
      <c r="O22" s="220">
        <f t="shared" si="2"/>
        <v>13.021363806704121</v>
      </c>
      <c r="P22" s="220">
        <f t="shared" si="3"/>
        <v>14.819614148409959</v>
      </c>
    </row>
    <row r="23" spans="1:16" ht="15" thickBot="1" x14ac:dyDescent="0.4">
      <c r="A23" s="332">
        <v>17</v>
      </c>
      <c r="B23" s="61">
        <v>6</v>
      </c>
      <c r="C23" s="178">
        <v>19171</v>
      </c>
      <c r="D23" s="178">
        <f>ROUND((C23*1.075),0)</f>
        <v>20609</v>
      </c>
      <c r="E23" s="159">
        <f>D23/12</f>
        <v>1717.4166666666667</v>
      </c>
      <c r="F23" s="160">
        <f>SUM(D23/52.143)</f>
        <v>395.24001304106014</v>
      </c>
      <c r="G23" s="172">
        <f>SUM($D23/52.143)/37</f>
        <v>10.682162514623247</v>
      </c>
      <c r="H23" s="333">
        <f>SUM($D23/52.143)/37*1.1381</f>
        <v>12.157369157892717</v>
      </c>
      <c r="I23" s="311">
        <f t="shared" si="4"/>
        <v>19698.202500000003</v>
      </c>
      <c r="J23" s="215">
        <v>17</v>
      </c>
      <c r="K23" s="216">
        <f t="shared" si="9"/>
        <v>23836</v>
      </c>
      <c r="L23" s="217">
        <f t="shared" si="9"/>
        <v>25624</v>
      </c>
      <c r="M23" s="218">
        <f t="shared" si="0"/>
        <v>2135.3333333333335</v>
      </c>
      <c r="N23" s="219">
        <f t="shared" si="1"/>
        <v>491.41783173196785</v>
      </c>
      <c r="O23" s="220">
        <f t="shared" si="2"/>
        <v>13.281563019782915</v>
      </c>
      <c r="P23" s="220">
        <f t="shared" si="3"/>
        <v>15.115746872814935</v>
      </c>
    </row>
    <row r="24" spans="1:16" ht="15" thickBot="1" x14ac:dyDescent="0.4">
      <c r="A24" s="277" t="s">
        <v>16</v>
      </c>
      <c r="B24" s="277" t="s">
        <v>16</v>
      </c>
      <c r="C24" s="294" t="s">
        <v>1</v>
      </c>
      <c r="D24" s="292"/>
      <c r="E24" s="289"/>
      <c r="F24" s="289"/>
      <c r="G24" s="290"/>
      <c r="H24" s="293"/>
      <c r="I24" s="311" t="e">
        <f t="shared" si="4"/>
        <v>#VALUE!</v>
      </c>
      <c r="J24" s="215">
        <v>18</v>
      </c>
      <c r="K24" s="216">
        <f t="shared" ref="K24:L28" si="10">C38</f>
        <v>24313</v>
      </c>
      <c r="L24" s="217">
        <f t="shared" si="10"/>
        <v>26136</v>
      </c>
      <c r="M24" s="218">
        <f t="shared" si="0"/>
        <v>2178</v>
      </c>
      <c r="N24" s="219">
        <f t="shared" si="1"/>
        <v>501.23698291237559</v>
      </c>
      <c r="O24" s="220">
        <f t="shared" si="2"/>
        <v>13.546945484118259</v>
      </c>
      <c r="P24" s="220">
        <f t="shared" si="3"/>
        <v>15.41777865547499</v>
      </c>
    </row>
    <row r="25" spans="1:16" x14ac:dyDescent="0.35">
      <c r="A25" s="321">
        <v>18</v>
      </c>
      <c r="B25" s="54">
        <v>7</v>
      </c>
      <c r="C25" s="183">
        <v>19554</v>
      </c>
      <c r="D25" s="180">
        <f>ROUND((C25*1.075),0)</f>
        <v>21021</v>
      </c>
      <c r="E25" s="157">
        <f>D25/12</f>
        <v>1751.75</v>
      </c>
      <c r="F25" s="158">
        <f>SUM(D25/52.143)</f>
        <v>403.14136125654449</v>
      </c>
      <c r="G25" s="170">
        <f>SUM($D25/52.143)/37</f>
        <v>10.895712466393094</v>
      </c>
      <c r="H25" s="328">
        <f>SUM($D25/52.143)/37*1.1381</f>
        <v>12.400410358001979</v>
      </c>
      <c r="I25" s="311">
        <f t="shared" si="4"/>
        <v>20091.735000000001</v>
      </c>
      <c r="J25" s="215">
        <v>19</v>
      </c>
      <c r="K25" s="216">
        <f t="shared" si="10"/>
        <v>24799</v>
      </c>
      <c r="L25" s="217">
        <f t="shared" si="10"/>
        <v>26659</v>
      </c>
      <c r="M25" s="218">
        <f t="shared" si="0"/>
        <v>2221.5833333333335</v>
      </c>
      <c r="N25" s="219">
        <f t="shared" si="1"/>
        <v>511.26709241892485</v>
      </c>
      <c r="O25" s="220">
        <f t="shared" si="2"/>
        <v>13.818029524835806</v>
      </c>
      <c r="P25" s="220">
        <f t="shared" si="3"/>
        <v>15.726299402215629</v>
      </c>
    </row>
    <row r="26" spans="1:16" x14ac:dyDescent="0.35">
      <c r="A26" s="321">
        <v>19</v>
      </c>
      <c r="B26" s="54">
        <v>8</v>
      </c>
      <c r="C26" s="176">
        <v>19945</v>
      </c>
      <c r="D26" s="175">
        <f>ROUND((C26*1.075),0)</f>
        <v>21441</v>
      </c>
      <c r="E26" s="149">
        <f>D26/12</f>
        <v>1786.75</v>
      </c>
      <c r="F26" s="150">
        <f>SUM(D26/52.143)</f>
        <v>411.19613370922269</v>
      </c>
      <c r="G26" s="161">
        <f>SUM($D26/52.143)/37</f>
        <v>11.113409019168181</v>
      </c>
      <c r="H26" s="329">
        <f>SUM($D26/52.143)/37*1.1381</f>
        <v>12.648170804715305</v>
      </c>
      <c r="I26" s="311">
        <f t="shared" si="4"/>
        <v>20493.487500000003</v>
      </c>
      <c r="J26" s="215">
        <v>20</v>
      </c>
      <c r="K26" s="216">
        <f t="shared" si="10"/>
        <v>25295</v>
      </c>
      <c r="L26" s="217">
        <f t="shared" si="10"/>
        <v>27192</v>
      </c>
      <c r="M26" s="218">
        <f t="shared" si="0"/>
        <v>2266</v>
      </c>
      <c r="N26" s="219">
        <f t="shared" si="1"/>
        <v>521.48898222196647</v>
      </c>
      <c r="O26" s="220">
        <f t="shared" si="2"/>
        <v>14.094296816809905</v>
      </c>
      <c r="P26" s="220">
        <f t="shared" si="3"/>
        <v>16.04071920721135</v>
      </c>
    </row>
    <row r="27" spans="1:16" x14ac:dyDescent="0.35">
      <c r="A27" s="321">
        <v>20</v>
      </c>
      <c r="B27" s="54">
        <v>9</v>
      </c>
      <c r="C27" s="176">
        <v>20344</v>
      </c>
      <c r="D27" s="175">
        <f>ROUND((C27*1.075),0)</f>
        <v>21870</v>
      </c>
      <c r="E27" s="149">
        <f>D27/12</f>
        <v>1822.5</v>
      </c>
      <c r="F27" s="150">
        <f>SUM(D27/52.143)</f>
        <v>419.42350842874401</v>
      </c>
      <c r="G27" s="161">
        <f>SUM($D27/52.143)/37</f>
        <v>11.335770498074163</v>
      </c>
      <c r="H27" s="329">
        <f>SUM($D27/52.143)/37*1.1381</f>
        <v>12.901240403858203</v>
      </c>
      <c r="I27" s="311">
        <f t="shared" si="4"/>
        <v>20903.460000000003</v>
      </c>
      <c r="J27" s="215">
        <v>21</v>
      </c>
      <c r="K27" s="216">
        <f t="shared" si="10"/>
        <v>25801</v>
      </c>
      <c r="L27" s="217">
        <f t="shared" si="10"/>
        <v>27736</v>
      </c>
      <c r="M27" s="218">
        <f t="shared" si="0"/>
        <v>2311.3333333333335</v>
      </c>
      <c r="N27" s="219">
        <f t="shared" si="1"/>
        <v>531.92183035114977</v>
      </c>
      <c r="O27" s="220">
        <f t="shared" si="2"/>
        <v>14.37626568516621</v>
      </c>
      <c r="P27" s="220">
        <f t="shared" si="3"/>
        <v>16.361627976287661</v>
      </c>
    </row>
    <row r="28" spans="1:16" x14ac:dyDescent="0.35">
      <c r="A28" s="334"/>
      <c r="B28" s="222">
        <v>10</v>
      </c>
      <c r="C28" s="177">
        <v>20751</v>
      </c>
      <c r="D28" s="223">
        <f>ROUND((C28*1.075),0)</f>
        <v>22307</v>
      </c>
      <c r="E28" s="151">
        <f>D28/12</f>
        <v>1858.9166666666667</v>
      </c>
      <c r="F28" s="152">
        <f>SUM(D28/52.143)</f>
        <v>427.8043073854592</v>
      </c>
      <c r="G28" s="163">
        <f>SUM($D28/52.143)/37</f>
        <v>11.562278577985383</v>
      </c>
      <c r="H28" s="322">
        <f>SUM($D28/52.143)/37*1.1381</f>
        <v>13.159029249605164</v>
      </c>
      <c r="I28" s="311">
        <f t="shared" si="4"/>
        <v>21321.6525</v>
      </c>
      <c r="J28" s="215">
        <v>22</v>
      </c>
      <c r="K28" s="216">
        <f t="shared" si="10"/>
        <v>26317</v>
      </c>
      <c r="L28" s="217">
        <f t="shared" si="10"/>
        <v>28291</v>
      </c>
      <c r="M28" s="218">
        <f t="shared" si="0"/>
        <v>2357.5833333333335</v>
      </c>
      <c r="N28" s="219">
        <f t="shared" si="1"/>
        <v>542.56563680647446</v>
      </c>
      <c r="O28" s="220">
        <f t="shared" si="2"/>
        <v>14.663936129904716</v>
      </c>
      <c r="P28" s="220">
        <f t="shared" si="3"/>
        <v>16.689025709444557</v>
      </c>
    </row>
    <row r="29" spans="1:16" ht="15" thickBot="1" x14ac:dyDescent="0.4">
      <c r="A29" s="332">
        <v>21</v>
      </c>
      <c r="B29" s="61">
        <v>11</v>
      </c>
      <c r="C29" s="178">
        <v>21166</v>
      </c>
      <c r="D29" s="178">
        <f>ROUND((C29*1.075),0)</f>
        <v>22753</v>
      </c>
      <c r="E29" s="159">
        <f>D29/12</f>
        <v>1896.0833333333333</v>
      </c>
      <c r="F29" s="160">
        <f>SUM(D29/52.143)</f>
        <v>436.35770860901749</v>
      </c>
      <c r="G29" s="172">
        <f>SUM($D29/52.143)/37</f>
        <v>11.793451584027499</v>
      </c>
      <c r="H29" s="333">
        <f>SUM($D29/52.143)/37*1.1381</f>
        <v>13.422127247781695</v>
      </c>
      <c r="I29" s="311">
        <f t="shared" si="4"/>
        <v>21748.065000000002</v>
      </c>
    </row>
    <row r="30" spans="1:16" ht="15" thickBot="1" x14ac:dyDescent="0.4">
      <c r="A30" s="277" t="s">
        <v>17</v>
      </c>
      <c r="B30" s="277" t="s">
        <v>17</v>
      </c>
      <c r="C30" s="294"/>
      <c r="D30" s="292"/>
      <c r="E30" s="289"/>
      <c r="F30" s="289"/>
      <c r="G30" s="290"/>
      <c r="H30" s="293"/>
      <c r="I30" s="311">
        <f t="shared" si="4"/>
        <v>0</v>
      </c>
    </row>
    <row r="31" spans="1:16" x14ac:dyDescent="0.35">
      <c r="A31" s="321">
        <v>22</v>
      </c>
      <c r="B31" s="54">
        <v>12</v>
      </c>
      <c r="C31" s="183">
        <v>21589</v>
      </c>
      <c r="D31" s="180">
        <f t="shared" ref="D31:D36" si="11">ROUND((C31*1.075),0)</f>
        <v>23208</v>
      </c>
      <c r="E31" s="157">
        <f t="shared" ref="E31:E36" si="12">D31/12</f>
        <v>1934</v>
      </c>
      <c r="F31" s="158">
        <f t="shared" ref="F31:F36" si="13">SUM(D31/52.143)</f>
        <v>445.0837120994189</v>
      </c>
      <c r="G31" s="170">
        <f t="shared" ref="G31:G36" si="14">SUM($D31/52.143)/37</f>
        <v>12.02928951620051</v>
      </c>
      <c r="H31" s="328">
        <f t="shared" ref="H31:H36" si="15">SUM($D31/52.143)/37*1.1381</f>
        <v>13.690534398387799</v>
      </c>
      <c r="I31" s="311">
        <f t="shared" si="4"/>
        <v>22182.697500000002</v>
      </c>
    </row>
    <row r="32" spans="1:16" x14ac:dyDescent="0.35">
      <c r="A32" s="321"/>
      <c r="B32" s="54">
        <v>13</v>
      </c>
      <c r="C32" s="176">
        <v>22021</v>
      </c>
      <c r="D32" s="175">
        <f t="shared" si="11"/>
        <v>23673</v>
      </c>
      <c r="E32" s="149">
        <f t="shared" si="12"/>
        <v>1972.75</v>
      </c>
      <c r="F32" s="150">
        <f t="shared" si="13"/>
        <v>454.00149588631263</v>
      </c>
      <c r="G32" s="161">
        <f t="shared" si="14"/>
        <v>12.270310699630071</v>
      </c>
      <c r="H32" s="329">
        <f t="shared" si="15"/>
        <v>13.964840607248982</v>
      </c>
      <c r="I32" s="311">
        <f t="shared" si="4"/>
        <v>22626.577500000003</v>
      </c>
    </row>
    <row r="33" spans="1:14" x14ac:dyDescent="0.35">
      <c r="A33" s="321">
        <v>23</v>
      </c>
      <c r="B33" s="54">
        <v>14</v>
      </c>
      <c r="C33" s="176">
        <v>22462</v>
      </c>
      <c r="D33" s="175">
        <f t="shared" si="11"/>
        <v>24147</v>
      </c>
      <c r="E33" s="149">
        <f t="shared" si="12"/>
        <v>2012.25</v>
      </c>
      <c r="F33" s="150">
        <f t="shared" si="13"/>
        <v>463.09188194004946</v>
      </c>
      <c r="G33" s="161">
        <f t="shared" si="14"/>
        <v>12.515996809190526</v>
      </c>
      <c r="H33" s="329">
        <f t="shared" si="15"/>
        <v>14.244455968539736</v>
      </c>
      <c r="I33" s="311">
        <f t="shared" si="4"/>
        <v>23079.705000000002</v>
      </c>
    </row>
    <row r="34" spans="1:14" x14ac:dyDescent="0.35">
      <c r="A34" s="321">
        <v>24</v>
      </c>
      <c r="B34" s="54">
        <v>15</v>
      </c>
      <c r="C34" s="176">
        <v>22911</v>
      </c>
      <c r="D34" s="175">
        <f t="shared" si="11"/>
        <v>24629</v>
      </c>
      <c r="E34" s="149">
        <f t="shared" si="12"/>
        <v>2052.4166666666665</v>
      </c>
      <c r="F34" s="150">
        <f t="shared" si="13"/>
        <v>472.33569223098016</v>
      </c>
      <c r="G34" s="161">
        <f t="shared" si="14"/>
        <v>12.76582951975622</v>
      </c>
      <c r="H34" s="329">
        <f t="shared" si="15"/>
        <v>14.528790576434552</v>
      </c>
      <c r="I34" s="311">
        <f t="shared" si="4"/>
        <v>23541.052500000002</v>
      </c>
    </row>
    <row r="35" spans="1:14" x14ac:dyDescent="0.35">
      <c r="A35" s="321"/>
      <c r="B35" s="54">
        <v>16</v>
      </c>
      <c r="C35" s="177">
        <v>23369</v>
      </c>
      <c r="D35" s="223">
        <f t="shared" si="11"/>
        <v>25122</v>
      </c>
      <c r="E35" s="151">
        <f t="shared" si="12"/>
        <v>2093.5</v>
      </c>
      <c r="F35" s="152">
        <f t="shared" si="13"/>
        <v>481.79046084805248</v>
      </c>
      <c r="G35" s="163">
        <f t="shared" si="14"/>
        <v>13.021363806704121</v>
      </c>
      <c r="H35" s="322">
        <f t="shared" si="15"/>
        <v>14.819614148409959</v>
      </c>
      <c r="I35" s="311">
        <f t="shared" si="4"/>
        <v>24011.647500000003</v>
      </c>
    </row>
    <row r="36" spans="1:14" ht="15" thickBot="1" x14ac:dyDescent="0.4">
      <c r="A36" s="334">
        <v>25</v>
      </c>
      <c r="B36" s="222">
        <v>17</v>
      </c>
      <c r="C36" s="178">
        <v>23836</v>
      </c>
      <c r="D36" s="182">
        <f t="shared" si="11"/>
        <v>25624</v>
      </c>
      <c r="E36" s="159">
        <f t="shared" si="12"/>
        <v>2135.3333333333335</v>
      </c>
      <c r="F36" s="160">
        <f t="shared" si="13"/>
        <v>491.41783173196785</v>
      </c>
      <c r="G36" s="172">
        <f t="shared" si="14"/>
        <v>13.281563019782915</v>
      </c>
      <c r="H36" s="333">
        <f t="shared" si="15"/>
        <v>15.115746872814935</v>
      </c>
      <c r="I36" s="311">
        <f t="shared" si="4"/>
        <v>24491.49</v>
      </c>
    </row>
    <row r="37" spans="1:14" ht="15" thickBot="1" x14ac:dyDescent="0.4">
      <c r="A37" s="277" t="s">
        <v>18</v>
      </c>
      <c r="B37" s="277" t="s">
        <v>18</v>
      </c>
      <c r="C37" s="294"/>
      <c r="D37" s="292"/>
      <c r="E37" s="289"/>
      <c r="F37" s="289"/>
      <c r="G37" s="290"/>
      <c r="H37" s="293"/>
      <c r="I37" s="311">
        <f t="shared" si="4"/>
        <v>0</v>
      </c>
    </row>
    <row r="38" spans="1:14" s="1" customFormat="1" ht="15.75" customHeight="1" x14ac:dyDescent="0.2">
      <c r="A38" s="335"/>
      <c r="B38" s="295">
        <v>18</v>
      </c>
      <c r="C38" s="296">
        <v>24313</v>
      </c>
      <c r="D38" s="296">
        <f>ROUND((C38*1.075),0)</f>
        <v>26136</v>
      </c>
      <c r="E38" s="297">
        <f>D38/12</f>
        <v>2178</v>
      </c>
      <c r="F38" s="297">
        <f>SUM(D38/52.143)</f>
        <v>501.23698291237559</v>
      </c>
      <c r="G38" s="298">
        <f>SUM($D38/52.143)/37</f>
        <v>13.546945484118259</v>
      </c>
      <c r="H38" s="336">
        <f>SUM($D38/52.143)/37*1.1381</f>
        <v>15.41777865547499</v>
      </c>
      <c r="I38" s="311">
        <f t="shared" si="4"/>
        <v>24981.607500000002</v>
      </c>
      <c r="J38" s="229"/>
      <c r="K38" s="184"/>
      <c r="L38" s="230"/>
      <c r="M38" s="230"/>
      <c r="N38" s="184"/>
    </row>
    <row r="39" spans="1:14" x14ac:dyDescent="0.35">
      <c r="A39" s="321">
        <v>26</v>
      </c>
      <c r="B39" s="54">
        <v>19</v>
      </c>
      <c r="C39" s="183">
        <v>24799</v>
      </c>
      <c r="D39" s="180">
        <f>ROUND((C39*1.075),0)</f>
        <v>26659</v>
      </c>
      <c r="E39" s="157">
        <f>D39/12</f>
        <v>2221.5833333333335</v>
      </c>
      <c r="F39" s="158">
        <f>SUM(D39/52.143)</f>
        <v>511.26709241892485</v>
      </c>
      <c r="G39" s="170">
        <f>SUM($D39/52.143)/37</f>
        <v>13.818029524835806</v>
      </c>
      <c r="H39" s="328">
        <f>SUM($D39/52.143)/37*1.1381</f>
        <v>15.726299402215629</v>
      </c>
      <c r="I39" s="311">
        <f t="shared" si="4"/>
        <v>25480.972500000003</v>
      </c>
    </row>
    <row r="40" spans="1:14" x14ac:dyDescent="0.35">
      <c r="A40" s="321">
        <v>27</v>
      </c>
      <c r="B40" s="54">
        <v>20</v>
      </c>
      <c r="C40" s="176">
        <v>25295</v>
      </c>
      <c r="D40" s="175">
        <f>ROUND((C40*1.075),0)</f>
        <v>27192</v>
      </c>
      <c r="E40" s="149">
        <f>D40/12</f>
        <v>2266</v>
      </c>
      <c r="F40" s="150">
        <f>SUM(D40/52.143)</f>
        <v>521.48898222196647</v>
      </c>
      <c r="G40" s="161">
        <f>SUM($D40/52.143)/37</f>
        <v>14.094296816809905</v>
      </c>
      <c r="H40" s="329">
        <f>SUM($D40/52.143)/37*1.1381</f>
        <v>16.04071920721135</v>
      </c>
      <c r="I40" s="311">
        <f t="shared" si="4"/>
        <v>25990.612500000003</v>
      </c>
    </row>
    <row r="41" spans="1:14" x14ac:dyDescent="0.35">
      <c r="A41" s="334"/>
      <c r="B41" s="222">
        <v>21</v>
      </c>
      <c r="C41" s="177">
        <v>25801</v>
      </c>
      <c r="D41" s="223">
        <f>ROUND((C41*1.075),0)</f>
        <v>27736</v>
      </c>
      <c r="E41" s="151">
        <f>D41/12</f>
        <v>2311.3333333333335</v>
      </c>
      <c r="F41" s="152">
        <f>SUM(D41/52.143)</f>
        <v>531.92183035114977</v>
      </c>
      <c r="G41" s="163">
        <f>SUM($D41/52.143)/37</f>
        <v>14.37626568516621</v>
      </c>
      <c r="H41" s="322">
        <f>SUM($D41/52.143)/37*1.1381</f>
        <v>16.361627976287661</v>
      </c>
      <c r="I41" s="311">
        <f t="shared" si="4"/>
        <v>26510.527500000004</v>
      </c>
    </row>
    <row r="42" spans="1:14" ht="15" thickBot="1" x14ac:dyDescent="0.4">
      <c r="A42" s="332">
        <v>28</v>
      </c>
      <c r="B42" s="61">
        <v>22</v>
      </c>
      <c r="C42" s="178">
        <v>26317</v>
      </c>
      <c r="D42" s="182">
        <f>ROUND((C42*1.075),0)</f>
        <v>28291</v>
      </c>
      <c r="E42" s="159">
        <f>D42/12</f>
        <v>2357.5833333333335</v>
      </c>
      <c r="F42" s="160">
        <f>SUM(D42/52.143)</f>
        <v>542.56563680647446</v>
      </c>
      <c r="G42" s="172">
        <f>SUM($D42/52.143)/37</f>
        <v>14.663936129904716</v>
      </c>
      <c r="H42" s="333">
        <f>SUM($D42/52.143)/37*1.1381</f>
        <v>16.689025709444557</v>
      </c>
      <c r="I42" s="311">
        <f t="shared" si="4"/>
        <v>27040.717500000002</v>
      </c>
    </row>
    <row r="43" spans="1:14" x14ac:dyDescent="0.35">
      <c r="A43" s="6"/>
      <c r="B43" s="6"/>
      <c r="C43" s="64"/>
      <c r="D43" s="64"/>
      <c r="E43" s="65"/>
      <c r="F43" s="65"/>
      <c r="G43" s="65"/>
      <c r="H43" s="66"/>
      <c r="I43" s="311">
        <f t="shared" si="4"/>
        <v>0</v>
      </c>
    </row>
    <row r="44" spans="1:14" x14ac:dyDescent="0.35">
      <c r="A44" s="231">
        <v>19</v>
      </c>
      <c r="B44" s="231">
        <v>8</v>
      </c>
      <c r="C44" s="307"/>
      <c r="D44" s="232" t="s">
        <v>20</v>
      </c>
      <c r="E44" s="193" t="s">
        <v>49</v>
      </c>
      <c r="F44" s="299"/>
      <c r="G44" s="233" t="s">
        <v>21</v>
      </c>
      <c r="H44" s="144" t="s">
        <v>48</v>
      </c>
      <c r="I44" s="311">
        <f t="shared" si="4"/>
        <v>0</v>
      </c>
    </row>
    <row r="45" spans="1:14" x14ac:dyDescent="0.35">
      <c r="A45" s="144" t="s">
        <v>22</v>
      </c>
      <c r="B45" s="144" t="s">
        <v>22</v>
      </c>
      <c r="C45" s="234">
        <f>C26</f>
        <v>19945</v>
      </c>
      <c r="D45" s="234">
        <v>609</v>
      </c>
      <c r="E45" s="195">
        <f>C45+D45</f>
        <v>20554</v>
      </c>
      <c r="F45" s="299"/>
      <c r="G45" s="196">
        <f>SUM(C45+D45)/37/52.143</f>
        <v>10.653654632712225</v>
      </c>
      <c r="H45" s="197">
        <f>E45/52.143/37*1.1381</f>
        <v>12.124924337489782</v>
      </c>
      <c r="I45" s="311">
        <f t="shared" si="4"/>
        <v>20493.487500000003</v>
      </c>
      <c r="J45" s="311">
        <f t="shared" si="4"/>
        <v>625.74750000000006</v>
      </c>
    </row>
    <row r="46" spans="1:14" x14ac:dyDescent="0.35">
      <c r="A46" s="1"/>
      <c r="B46" s="1"/>
      <c r="C46" s="5"/>
      <c r="D46" s="1"/>
      <c r="E46" s="1"/>
      <c r="F46" s="1"/>
      <c r="G46" s="1"/>
      <c r="H46" s="4"/>
      <c r="I46" s="1"/>
    </row>
    <row r="47" spans="1:14" x14ac:dyDescent="0.35">
      <c r="A47" s="70" t="s">
        <v>47</v>
      </c>
      <c r="B47" s="70"/>
      <c r="C47" s="71"/>
      <c r="D47" s="72"/>
      <c r="E47" s="73"/>
      <c r="F47" s="74"/>
      <c r="G47" s="74"/>
      <c r="H47" s="75"/>
      <c r="I47" s="2"/>
    </row>
    <row r="48" spans="1:14" x14ac:dyDescent="0.35">
      <c r="A48" s="76"/>
      <c r="B48" s="76"/>
      <c r="C48" s="71"/>
      <c r="D48" s="74"/>
      <c r="E48" s="73"/>
      <c r="F48" s="74"/>
      <c r="G48" s="74"/>
      <c r="H48" s="75"/>
      <c r="I48" s="1"/>
    </row>
    <row r="49" spans="1:9" x14ac:dyDescent="0.35">
      <c r="A49" s="77" t="s">
        <v>60</v>
      </c>
      <c r="C49" s="6"/>
      <c r="D49" s="75"/>
      <c r="E49" s="29"/>
      <c r="F49" s="75"/>
      <c r="G49" s="75"/>
      <c r="H49" s="75"/>
      <c r="I49" s="1"/>
    </row>
    <row r="50" spans="1:9" x14ac:dyDescent="0.35">
      <c r="A50" s="1"/>
      <c r="B50" s="1"/>
      <c r="C50" s="6"/>
      <c r="D50" s="75"/>
      <c r="E50" s="78"/>
      <c r="F50" s="29"/>
      <c r="G50" s="29"/>
      <c r="H50" s="29"/>
      <c r="I50" s="1"/>
    </row>
    <row r="51" spans="1:9" x14ac:dyDescent="0.35">
      <c r="A51" s="224" t="s">
        <v>24</v>
      </c>
      <c r="B51" s="235" t="s">
        <v>25</v>
      </c>
      <c r="C51" s="236"/>
      <c r="D51" s="237" t="s">
        <v>26</v>
      </c>
      <c r="F51" s="29"/>
      <c r="G51" s="29"/>
      <c r="H51" s="29"/>
      <c r="I51" s="1"/>
    </row>
    <row r="52" spans="1:9" x14ac:dyDescent="0.35">
      <c r="A52" s="221"/>
      <c r="B52" s="238"/>
      <c r="C52" s="239"/>
      <c r="D52" s="240" t="s">
        <v>27</v>
      </c>
      <c r="F52" s="29"/>
      <c r="G52" s="29"/>
      <c r="H52" s="29"/>
      <c r="I52" s="1"/>
    </row>
    <row r="53" spans="1:9" x14ac:dyDescent="0.35">
      <c r="A53" s="1"/>
      <c r="B53" s="6"/>
      <c r="C53" s="75"/>
      <c r="D53" s="87"/>
      <c r="F53" s="29"/>
      <c r="G53" s="29"/>
      <c r="H53" s="29"/>
      <c r="I53" s="1"/>
    </row>
    <row r="54" spans="1:9" x14ac:dyDescent="0.35">
      <c r="A54" s="214" t="s">
        <v>28</v>
      </c>
      <c r="B54" s="89" t="s">
        <v>29</v>
      </c>
      <c r="C54" s="90">
        <v>10000</v>
      </c>
      <c r="D54" s="91">
        <v>45</v>
      </c>
      <c r="F54" s="29"/>
      <c r="G54" s="29"/>
      <c r="H54" s="29"/>
      <c r="I54" s="1"/>
    </row>
    <row r="55" spans="1:9" x14ac:dyDescent="0.35">
      <c r="A55" s="1"/>
      <c r="B55" s="92" t="s">
        <v>30</v>
      </c>
      <c r="C55" s="90">
        <v>10000</v>
      </c>
      <c r="D55" s="93">
        <v>25</v>
      </c>
      <c r="F55" s="29"/>
      <c r="G55" s="29"/>
      <c r="H55" s="29"/>
      <c r="I55" s="1"/>
    </row>
    <row r="56" spans="1:9" x14ac:dyDescent="0.35">
      <c r="A56" s="1"/>
      <c r="B56" s="1"/>
      <c r="C56" s="6"/>
      <c r="D56" s="1"/>
      <c r="E56" s="78"/>
      <c r="F56" s="29"/>
      <c r="G56" s="29"/>
      <c r="H56" s="29"/>
      <c r="I56" s="2"/>
    </row>
    <row r="57" spans="1:9" x14ac:dyDescent="0.3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35">
      <c r="A58" s="7"/>
      <c r="B58" s="7"/>
      <c r="C58" s="7"/>
      <c r="D58" s="7"/>
      <c r="E58" s="16"/>
      <c r="F58" s="241"/>
      <c r="G58" s="10"/>
      <c r="H58" s="242"/>
      <c r="I58" s="7"/>
    </row>
    <row r="59" spans="1:9" x14ac:dyDescent="0.35">
      <c r="A59" s="243"/>
      <c r="B59" s="243"/>
      <c r="C59" s="244"/>
      <c r="D59" s="10"/>
      <c r="E59" s="16"/>
      <c r="F59" s="241"/>
      <c r="G59" s="10"/>
      <c r="H59" s="242"/>
      <c r="I59" s="7"/>
    </row>
    <row r="60" spans="1:9" x14ac:dyDescent="0.35">
      <c r="A60" s="7" t="s">
        <v>61</v>
      </c>
      <c r="B60" s="7"/>
      <c r="C60" s="7"/>
      <c r="D60" s="10"/>
      <c r="E60" s="16"/>
      <c r="F60" s="241"/>
      <c r="G60" s="10"/>
      <c r="H60" s="242"/>
      <c r="I60" s="7"/>
    </row>
    <row r="61" spans="1:9" x14ac:dyDescent="0.35">
      <c r="A61" s="301" t="s">
        <v>31</v>
      </c>
      <c r="B61" s="116" t="s">
        <v>56</v>
      </c>
      <c r="C61" s="74"/>
      <c r="D61" s="300"/>
      <c r="E61" s="245"/>
      <c r="G61" s="7" t="s">
        <v>32</v>
      </c>
    </row>
    <row r="62" spans="1:9" x14ac:dyDescent="0.35">
      <c r="A62" s="1"/>
      <c r="B62" s="101"/>
      <c r="C62" s="75"/>
      <c r="D62" s="246"/>
      <c r="E62" s="245"/>
      <c r="F62" s="75"/>
      <c r="G62" s="247"/>
      <c r="H62" s="7"/>
    </row>
    <row r="63" spans="1:9" x14ac:dyDescent="0.35">
      <c r="A63" s="202" t="s">
        <v>33</v>
      </c>
      <c r="B63" s="203" t="s">
        <v>8</v>
      </c>
      <c r="C63" s="203" t="s">
        <v>4</v>
      </c>
      <c r="D63" s="203" t="s">
        <v>5</v>
      </c>
      <c r="E63" s="204" t="s">
        <v>6</v>
      </c>
      <c r="F63" s="205" t="s">
        <v>7</v>
      </c>
      <c r="G63" s="12"/>
    </row>
    <row r="64" spans="1:9" x14ac:dyDescent="0.35">
      <c r="A64" s="211"/>
      <c r="B64" s="212" t="s">
        <v>11</v>
      </c>
      <c r="C64" s="212" t="s">
        <v>9</v>
      </c>
      <c r="D64" s="302" t="s">
        <v>9</v>
      </c>
      <c r="E64" s="303" t="s">
        <v>9</v>
      </c>
      <c r="F64" s="304" t="s">
        <v>10</v>
      </c>
      <c r="G64" s="13" t="s">
        <v>34</v>
      </c>
    </row>
    <row r="65" spans="1:8" x14ac:dyDescent="0.35">
      <c r="A65" s="1"/>
      <c r="B65" s="6"/>
      <c r="C65" s="14" t="s">
        <v>14</v>
      </c>
      <c r="D65" s="14" t="s">
        <v>14</v>
      </c>
      <c r="E65" s="14" t="s">
        <v>14</v>
      </c>
      <c r="F65" s="305" t="s">
        <v>14</v>
      </c>
      <c r="G65" s="306" t="s">
        <v>14</v>
      </c>
    </row>
    <row r="66" spans="1:8" x14ac:dyDescent="0.35">
      <c r="A66" s="249">
        <v>8</v>
      </c>
      <c r="B66" s="109">
        <v>1</v>
      </c>
      <c r="C66" s="175">
        <v>30596</v>
      </c>
      <c r="D66" s="148">
        <f>C66/12</f>
        <v>2549.6666666666665</v>
      </c>
      <c r="E66" s="149">
        <f>SUM(C66/52.143)</f>
        <v>586.7709951479585</v>
      </c>
      <c r="F66" s="174">
        <f>SUM(C66/52.143)/37</f>
        <v>15.85867554453942</v>
      </c>
      <c r="G66" s="250">
        <f t="shared" ref="G66:G75" si="16">SUM(C66*113.81%)</f>
        <v>34821.3076</v>
      </c>
    </row>
    <row r="67" spans="1:8" x14ac:dyDescent="0.35">
      <c r="A67" s="110"/>
      <c r="B67" s="111">
        <v>2</v>
      </c>
      <c r="C67" s="175">
        <v>31421</v>
      </c>
      <c r="D67" s="148">
        <f t="shared" ref="D67:D74" si="17">C67/12</f>
        <v>2618.4166666666665</v>
      </c>
      <c r="E67" s="149">
        <f t="shared" ref="E67:E75" si="18">SUM(C67/52.143)</f>
        <v>602.59286960857639</v>
      </c>
      <c r="F67" s="174">
        <f t="shared" ref="F67:F75" si="19">SUM(C67/52.143)/37</f>
        <v>16.286293773204768</v>
      </c>
      <c r="G67" s="251">
        <f t="shared" si="16"/>
        <v>35760.240100000003</v>
      </c>
    </row>
    <row r="68" spans="1:8" x14ac:dyDescent="0.35">
      <c r="A68" s="110"/>
      <c r="B68" s="111">
        <v>3</v>
      </c>
      <c r="C68" s="175">
        <v>32239</v>
      </c>
      <c r="D68" s="148">
        <f t="shared" si="17"/>
        <v>2686.5833333333335</v>
      </c>
      <c r="E68" s="149">
        <f t="shared" si="18"/>
        <v>618.28049786164968</v>
      </c>
      <c r="F68" s="174">
        <f t="shared" si="19"/>
        <v>16.710283725990532</v>
      </c>
      <c r="G68" s="251">
        <f t="shared" si="16"/>
        <v>36691.205900000001</v>
      </c>
    </row>
    <row r="69" spans="1:8" x14ac:dyDescent="0.35">
      <c r="A69" s="110"/>
      <c r="B69" s="111">
        <v>4</v>
      </c>
      <c r="C69" s="175">
        <v>33193</v>
      </c>
      <c r="D69" s="148">
        <f t="shared" si="17"/>
        <v>2766.0833333333335</v>
      </c>
      <c r="E69" s="149">
        <f t="shared" si="18"/>
        <v>636.57633814701876</v>
      </c>
      <c r="F69" s="174">
        <f t="shared" si="19"/>
        <v>17.204765895865371</v>
      </c>
      <c r="G69" s="251">
        <f t="shared" si="16"/>
        <v>37776.953300000001</v>
      </c>
    </row>
    <row r="70" spans="1:8" x14ac:dyDescent="0.35">
      <c r="A70" s="110"/>
      <c r="B70" s="111">
        <v>5</v>
      </c>
      <c r="C70" s="175">
        <v>34152</v>
      </c>
      <c r="D70" s="148">
        <f t="shared" si="17"/>
        <v>2846</v>
      </c>
      <c r="E70" s="149">
        <f t="shared" si="18"/>
        <v>654.96806858063405</v>
      </c>
      <c r="F70" s="174">
        <f t="shared" si="19"/>
        <v>17.701839691368487</v>
      </c>
      <c r="G70" s="251">
        <f t="shared" si="16"/>
        <v>38868.391200000005</v>
      </c>
    </row>
    <row r="71" spans="1:8" x14ac:dyDescent="0.35">
      <c r="A71" s="249">
        <v>7</v>
      </c>
      <c r="B71" s="109">
        <v>1</v>
      </c>
      <c r="C71" s="175">
        <v>34833</v>
      </c>
      <c r="D71" s="148">
        <f t="shared" si="17"/>
        <v>2902.75</v>
      </c>
      <c r="E71" s="149">
        <f t="shared" si="18"/>
        <v>668.02830677176223</v>
      </c>
      <c r="F71" s="174">
        <f t="shared" si="19"/>
        <v>18.054819101939518</v>
      </c>
      <c r="G71" s="251">
        <f t="shared" si="16"/>
        <v>39643.437300000005</v>
      </c>
    </row>
    <row r="72" spans="1:8" x14ac:dyDescent="0.35">
      <c r="A72" s="110"/>
      <c r="B72" s="111">
        <v>2</v>
      </c>
      <c r="C72" s="175">
        <v>35790</v>
      </c>
      <c r="D72" s="148">
        <f t="shared" si="17"/>
        <v>2982.5</v>
      </c>
      <c r="E72" s="149">
        <f t="shared" si="18"/>
        <v>686.38168114607902</v>
      </c>
      <c r="F72" s="174">
        <f t="shared" si="19"/>
        <v>18.550856247191327</v>
      </c>
      <c r="G72" s="251">
        <f t="shared" si="16"/>
        <v>40732.599000000002</v>
      </c>
    </row>
    <row r="73" spans="1:8" x14ac:dyDescent="0.35">
      <c r="A73" s="110"/>
      <c r="B73" s="111">
        <v>3</v>
      </c>
      <c r="C73" s="175">
        <v>36747</v>
      </c>
      <c r="D73" s="148">
        <f t="shared" si="17"/>
        <v>3062.25</v>
      </c>
      <c r="E73" s="149">
        <f t="shared" si="18"/>
        <v>704.7350555203958</v>
      </c>
      <c r="F73" s="174">
        <f t="shared" si="19"/>
        <v>19.046893392443131</v>
      </c>
      <c r="G73" s="251">
        <f t="shared" si="16"/>
        <v>41821.760700000006</v>
      </c>
    </row>
    <row r="74" spans="1:8" x14ac:dyDescent="0.35">
      <c r="A74" s="110"/>
      <c r="B74" s="111">
        <v>4</v>
      </c>
      <c r="C74" s="175">
        <v>37702</v>
      </c>
      <c r="D74" s="148">
        <f t="shared" si="17"/>
        <v>3141.8333333333335</v>
      </c>
      <c r="E74" s="149">
        <f t="shared" si="18"/>
        <v>723.0500738354142</v>
      </c>
      <c r="F74" s="174">
        <f t="shared" si="19"/>
        <v>19.541893887443628</v>
      </c>
      <c r="G74" s="251">
        <f t="shared" si="16"/>
        <v>42908.646200000003</v>
      </c>
    </row>
    <row r="75" spans="1:8" x14ac:dyDescent="0.35">
      <c r="A75" s="110"/>
      <c r="B75" s="111">
        <v>5</v>
      </c>
      <c r="C75" s="175">
        <v>38625</v>
      </c>
      <c r="D75" s="148">
        <f>C75/12</f>
        <v>3218.75</v>
      </c>
      <c r="E75" s="149">
        <f t="shared" si="18"/>
        <v>740.75139520165692</v>
      </c>
      <c r="F75" s="174">
        <f t="shared" si="19"/>
        <v>20.020307978423158</v>
      </c>
      <c r="G75" s="252">
        <f t="shared" si="16"/>
        <v>43959.112500000003</v>
      </c>
    </row>
    <row r="76" spans="1:8" x14ac:dyDescent="0.35">
      <c r="A76" s="1"/>
      <c r="B76" s="6"/>
      <c r="C76" s="112"/>
      <c r="D76" s="58"/>
      <c r="E76" s="58"/>
      <c r="F76" s="66"/>
      <c r="G76" s="248"/>
      <c r="H76" s="7"/>
    </row>
    <row r="77" spans="1:8" x14ac:dyDescent="0.35">
      <c r="A77" s="1"/>
      <c r="B77" s="6"/>
      <c r="C77" s="67"/>
      <c r="D77" s="65"/>
      <c r="E77" s="65"/>
      <c r="F77" s="66"/>
      <c r="G77" s="248"/>
      <c r="H77" s="7"/>
    </row>
    <row r="78" spans="1:8" x14ac:dyDescent="0.35">
      <c r="A78" s="1"/>
      <c r="B78" s="6"/>
      <c r="C78" s="67"/>
      <c r="D78" s="65"/>
      <c r="E78" s="65"/>
      <c r="F78" s="66"/>
      <c r="G78" s="248"/>
      <c r="H78" s="7"/>
    </row>
    <row r="79" spans="1:8" x14ac:dyDescent="0.35">
      <c r="A79" s="1"/>
      <c r="B79" s="6"/>
      <c r="C79" s="67"/>
      <c r="D79" s="65"/>
      <c r="E79" s="65"/>
      <c r="F79" s="66"/>
      <c r="G79" s="248"/>
      <c r="H79" s="7"/>
    </row>
    <row r="80" spans="1:8" x14ac:dyDescent="0.35">
      <c r="A80" s="1"/>
      <c r="B80" s="6"/>
      <c r="C80" s="67"/>
      <c r="D80" s="65"/>
      <c r="E80" s="65"/>
      <c r="F80" s="66"/>
      <c r="G80" s="248"/>
      <c r="H80" s="7"/>
    </row>
    <row r="81" spans="1:12" x14ac:dyDescent="0.35">
      <c r="A81" s="1"/>
      <c r="B81" s="6"/>
      <c r="C81" s="67"/>
      <c r="D81" s="65"/>
      <c r="E81" s="65"/>
      <c r="F81" s="66"/>
      <c r="G81" s="248"/>
      <c r="H81" s="7"/>
    </row>
    <row r="82" spans="1:12" x14ac:dyDescent="0.35">
      <c r="A82" s="1"/>
      <c r="B82" s="6"/>
      <c r="C82" s="67"/>
      <c r="D82" s="65"/>
      <c r="E82" s="65"/>
      <c r="F82" s="66"/>
      <c r="G82" s="248"/>
      <c r="H82" s="7"/>
    </row>
    <row r="83" spans="1:12" x14ac:dyDescent="0.35">
      <c r="A83" s="1"/>
      <c r="B83" s="1"/>
      <c r="C83" s="6"/>
      <c r="D83" s="67"/>
      <c r="E83" s="65"/>
      <c r="F83" s="65"/>
      <c r="G83" s="66"/>
      <c r="H83" s="248"/>
      <c r="I83" s="7"/>
    </row>
    <row r="84" spans="1:12" x14ac:dyDescent="0.35">
      <c r="A84" s="253"/>
      <c r="B84" s="253"/>
      <c r="C84" s="6"/>
      <c r="D84" s="67"/>
      <c r="E84" s="254"/>
      <c r="F84" s="255"/>
      <c r="G84" s="66"/>
      <c r="H84" s="248"/>
      <c r="I84" s="7"/>
    </row>
    <row r="85" spans="1:12" x14ac:dyDescent="0.35">
      <c r="A85" s="7" t="s">
        <v>62</v>
      </c>
      <c r="B85" s="7"/>
      <c r="C85" s="116"/>
      <c r="D85" s="117"/>
      <c r="E85" s="16"/>
      <c r="F85" s="256"/>
      <c r="G85" s="257"/>
      <c r="H85" s="242"/>
      <c r="I85" s="7"/>
    </row>
    <row r="86" spans="1:12" x14ac:dyDescent="0.35">
      <c r="A86" s="125" t="s">
        <v>35</v>
      </c>
      <c r="B86" s="116" t="s">
        <v>56</v>
      </c>
      <c r="C86" s="126"/>
      <c r="D86" s="127"/>
      <c r="G86" s="258"/>
      <c r="H86" s="7"/>
      <c r="I86" s="16"/>
    </row>
    <row r="87" spans="1:12" x14ac:dyDescent="0.35">
      <c r="A87" s="125"/>
      <c r="B87" s="125"/>
      <c r="C87" s="126"/>
      <c r="D87" s="127"/>
      <c r="E87" s="421"/>
      <c r="F87" s="421"/>
      <c r="G87" s="128"/>
      <c r="H87" s="242"/>
      <c r="I87" s="7"/>
    </row>
    <row r="88" spans="1:12" x14ac:dyDescent="0.35">
      <c r="A88" s="129" t="s">
        <v>36</v>
      </c>
      <c r="B88" s="7"/>
      <c r="D88" s="127"/>
      <c r="E88" s="421"/>
      <c r="F88" s="421"/>
      <c r="G88" s="130"/>
      <c r="H88" s="259"/>
      <c r="I88" s="7"/>
    </row>
    <row r="89" spans="1:12" ht="26.5" x14ac:dyDescent="0.35">
      <c r="A89" s="7"/>
      <c r="B89" s="7"/>
      <c r="C89" s="117"/>
      <c r="D89" s="288" t="s">
        <v>37</v>
      </c>
      <c r="E89" s="288" t="s">
        <v>37</v>
      </c>
      <c r="G89" s="7"/>
      <c r="H89" s="259"/>
      <c r="I89" s="7"/>
    </row>
    <row r="90" spans="1:12" x14ac:dyDescent="0.35">
      <c r="A90" s="260" t="s">
        <v>33</v>
      </c>
      <c r="B90" s="260" t="s">
        <v>38</v>
      </c>
      <c r="C90" s="261" t="s">
        <v>39</v>
      </c>
      <c r="D90" s="286" t="s">
        <v>38</v>
      </c>
      <c r="E90" s="287" t="s">
        <v>39</v>
      </c>
      <c r="G90" s="7"/>
      <c r="H90" s="259"/>
      <c r="I90" s="7"/>
    </row>
    <row r="91" spans="1:12" x14ac:dyDescent="0.35">
      <c r="A91" s="136"/>
      <c r="B91" s="137"/>
      <c r="C91" s="138"/>
      <c r="D91" s="263"/>
      <c r="E91" s="264"/>
      <c r="G91" s="7"/>
      <c r="H91" s="259"/>
      <c r="I91" s="7"/>
    </row>
    <row r="92" spans="1:12" x14ac:dyDescent="0.35">
      <c r="A92" s="265" t="s">
        <v>40</v>
      </c>
      <c r="B92" s="266">
        <v>75376</v>
      </c>
      <c r="C92" s="266">
        <v>100499</v>
      </c>
      <c r="D92" s="263">
        <f>SUM(B92/52.143/37)</f>
        <v>39.069274671368909</v>
      </c>
      <c r="E92" s="263">
        <f>SUM(C92/52.143/37)</f>
        <v>52.091156803198686</v>
      </c>
      <c r="G92" s="267"/>
      <c r="H92" s="259"/>
      <c r="J92" s="268"/>
      <c r="L92" s="200"/>
    </row>
    <row r="93" spans="1:12" x14ac:dyDescent="0.35">
      <c r="A93" s="136"/>
      <c r="B93" s="266"/>
      <c r="C93" s="266"/>
      <c r="D93" s="263">
        <v>0</v>
      </c>
      <c r="E93" s="263">
        <v>0</v>
      </c>
      <c r="G93" s="267"/>
      <c r="H93" s="259"/>
      <c r="J93" s="268"/>
      <c r="L93" s="200"/>
    </row>
    <row r="94" spans="1:12" x14ac:dyDescent="0.35">
      <c r="A94" s="260" t="s">
        <v>41</v>
      </c>
      <c r="B94" s="266">
        <v>69097</v>
      </c>
      <c r="C94" s="266">
        <v>80399</v>
      </c>
      <c r="D94" s="263">
        <f>SUM(B94/52.143/37)</f>
        <v>35.814711207381364</v>
      </c>
      <c r="E94" s="263">
        <f>SUM(C94/52.143/37)</f>
        <v>41.672821777533819</v>
      </c>
      <c r="G94" s="269"/>
      <c r="H94" s="259"/>
      <c r="J94" s="268"/>
      <c r="L94" s="200"/>
    </row>
    <row r="95" spans="1:12" x14ac:dyDescent="0.35">
      <c r="A95" s="21"/>
      <c r="B95" s="266"/>
      <c r="C95" s="266"/>
      <c r="D95" s="263">
        <v>0</v>
      </c>
      <c r="E95" s="263">
        <v>0</v>
      </c>
      <c r="G95" s="270"/>
      <c r="H95" s="259"/>
      <c r="J95" s="268"/>
      <c r="L95" s="200"/>
    </row>
    <row r="96" spans="1:12" x14ac:dyDescent="0.35">
      <c r="A96" s="260" t="s">
        <v>42</v>
      </c>
      <c r="B96" s="266">
        <v>61650</v>
      </c>
      <c r="C96" s="266">
        <v>67493</v>
      </c>
      <c r="D96" s="263">
        <f>SUM(B96/52.143/37)</f>
        <v>31.954743996628814</v>
      </c>
      <c r="E96" s="263">
        <f>SUM(C96/52.143/37)</f>
        <v>34.983317705830792</v>
      </c>
      <c r="G96" s="269"/>
      <c r="H96" s="259"/>
      <c r="J96" s="268"/>
      <c r="L96" s="200"/>
    </row>
    <row r="97" spans="1:12" x14ac:dyDescent="0.35">
      <c r="A97" s="23"/>
      <c r="B97" s="266"/>
      <c r="C97" s="266"/>
      <c r="D97" s="263">
        <v>0</v>
      </c>
      <c r="E97" s="263">
        <v>0</v>
      </c>
      <c r="G97" s="271"/>
      <c r="H97" s="259"/>
      <c r="J97" s="268"/>
      <c r="L97" s="200"/>
    </row>
    <row r="98" spans="1:12" x14ac:dyDescent="0.35">
      <c r="A98" s="260" t="s">
        <v>43</v>
      </c>
      <c r="B98" s="266">
        <v>55104</v>
      </c>
      <c r="C98" s="266">
        <v>60169</v>
      </c>
      <c r="D98" s="263">
        <f>SUM(B98/52.143/37)</f>
        <v>28.561787724091388</v>
      </c>
      <c r="E98" s="263">
        <f>SUM(C98/52.143/37)</f>
        <v>31.187104485533805</v>
      </c>
      <c r="G98" s="269"/>
      <c r="H98" s="259"/>
      <c r="J98" s="268"/>
      <c r="L98" s="200"/>
    </row>
    <row r="99" spans="1:12" x14ac:dyDescent="0.35">
      <c r="A99" s="23"/>
      <c r="B99" s="266"/>
      <c r="C99" s="266"/>
      <c r="D99" s="263">
        <v>0</v>
      </c>
      <c r="E99" s="263">
        <v>0</v>
      </c>
      <c r="G99" s="259"/>
      <c r="J99" s="268"/>
      <c r="L99" s="200"/>
    </row>
    <row r="100" spans="1:12" x14ac:dyDescent="0.35">
      <c r="A100" s="260" t="s">
        <v>44</v>
      </c>
      <c r="B100" s="266">
        <v>48981</v>
      </c>
      <c r="C100" s="266">
        <v>53565</v>
      </c>
      <c r="D100" s="263">
        <f>SUM(B100/52.143/37)</f>
        <v>25.388082979706017</v>
      </c>
      <c r="E100" s="263">
        <f>SUM(C100/52.143/37)</f>
        <v>27.764085355708392</v>
      </c>
      <c r="G100" s="269"/>
      <c r="H100" s="259"/>
      <c r="J100" s="268"/>
      <c r="L100" s="200"/>
    </row>
    <row r="101" spans="1:12" x14ac:dyDescent="0.35">
      <c r="A101" s="23"/>
      <c r="B101" s="266"/>
      <c r="C101" s="266"/>
      <c r="D101" s="263">
        <v>0</v>
      </c>
      <c r="E101" s="263">
        <v>0</v>
      </c>
      <c r="G101" s="271"/>
      <c r="H101" s="259"/>
      <c r="J101" s="268"/>
      <c r="L101" s="200"/>
    </row>
    <row r="102" spans="1:12" x14ac:dyDescent="0.35">
      <c r="A102" s="260" t="s">
        <v>45</v>
      </c>
      <c r="B102" s="266">
        <v>44667</v>
      </c>
      <c r="C102" s="266">
        <v>48818</v>
      </c>
      <c r="D102" s="263">
        <f>SUM(B102/52.143/37)</f>
        <v>23.15202838763048</v>
      </c>
      <c r="E102" s="263">
        <f>SUM(C102/52.143/37)</f>
        <v>25.303595984224255</v>
      </c>
      <c r="G102" s="269"/>
      <c r="H102" s="259"/>
      <c r="J102" s="268"/>
      <c r="L102" s="200"/>
    </row>
    <row r="103" spans="1:12" x14ac:dyDescent="0.35">
      <c r="A103" s="23"/>
      <c r="B103" s="266"/>
      <c r="C103" s="266"/>
      <c r="D103" s="263">
        <v>0</v>
      </c>
      <c r="E103" s="263">
        <v>0</v>
      </c>
      <c r="G103" s="271"/>
      <c r="H103" s="259"/>
      <c r="I103" s="259"/>
      <c r="J103" s="268"/>
    </row>
    <row r="104" spans="1:12" x14ac:dyDescent="0.35">
      <c r="A104" s="262" t="s">
        <v>46</v>
      </c>
      <c r="B104" s="272">
        <v>40763</v>
      </c>
      <c r="C104" s="273">
        <v>44523</v>
      </c>
      <c r="D104" s="263">
        <f>SUM(B104/52.143/37)</f>
        <v>21.128487097073485</v>
      </c>
      <c r="E104" s="263">
        <f>SUM(C104/52.143/37)</f>
        <v>23.077389569536166</v>
      </c>
      <c r="G104" s="269"/>
      <c r="H104" s="259"/>
      <c r="I104" s="259"/>
      <c r="J104" s="268"/>
    </row>
    <row r="105" spans="1:12" x14ac:dyDescent="0.35">
      <c r="A105" s="7"/>
      <c r="B105" s="7"/>
      <c r="C105" s="10"/>
      <c r="D105" s="10"/>
      <c r="E105" s="16"/>
      <c r="F105" s="241"/>
      <c r="G105" s="10"/>
      <c r="H105" s="274"/>
      <c r="I105" s="7"/>
    </row>
  </sheetData>
  <mergeCells count="4">
    <mergeCell ref="E87:F88"/>
    <mergeCell ref="J4:J6"/>
    <mergeCell ref="K4:K6"/>
    <mergeCell ref="L4:L6"/>
  </mergeCells>
  <pageMargins left="0.7" right="0.7" top="0.75" bottom="0.75" header="0.3" footer="0.3"/>
  <pageSetup paperSize="9" scale="3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C8EC-7719-4440-8576-246B07458C42}">
  <dimension ref="A1:I100"/>
  <sheetViews>
    <sheetView workbookViewId="0">
      <pane ySplit="1" topLeftCell="A2" activePane="bottomLeft" state="frozen"/>
      <selection pane="bottomLeft" activeCell="B87" sqref="B87"/>
    </sheetView>
  </sheetViews>
  <sheetFormatPr defaultColWidth="9.1796875" defaultRowHeight="14.5" x14ac:dyDescent="0.35"/>
  <cols>
    <col min="1" max="1" width="31.54296875" style="26" customWidth="1"/>
    <col min="2" max="2" width="21" style="26" customWidth="1"/>
    <col min="3" max="3" width="11.453125" style="26" customWidth="1"/>
    <col min="4" max="4" width="11.26953125" style="26" customWidth="1"/>
    <col min="5" max="5" width="11" style="26" customWidth="1"/>
    <col min="6" max="6" width="11.7265625" style="26" customWidth="1"/>
    <col min="7" max="7" width="11.1796875" style="26" customWidth="1"/>
    <col min="8" max="8" width="8.81640625" style="26" customWidth="1"/>
    <col min="9" max="9" width="20.26953125" style="26" bestFit="1" customWidth="1"/>
    <col min="10" max="16384" width="9.1796875" style="26"/>
  </cols>
  <sheetData>
    <row r="1" spans="1:9" ht="18" x14ac:dyDescent="0.4">
      <c r="A1" s="1"/>
      <c r="B1" s="1"/>
      <c r="C1" s="6"/>
      <c r="D1" s="146" t="s">
        <v>66</v>
      </c>
      <c r="E1" s="145"/>
      <c r="F1" s="1"/>
      <c r="G1" s="1" t="s">
        <v>67</v>
      </c>
      <c r="H1" s="2"/>
      <c r="I1" s="25"/>
    </row>
    <row r="2" spans="1:9" x14ac:dyDescent="0.35">
      <c r="A2" s="1"/>
      <c r="B2" s="1"/>
      <c r="C2" s="6"/>
      <c r="D2" s="1"/>
      <c r="E2" s="27"/>
      <c r="F2" s="1"/>
      <c r="G2" s="1"/>
      <c r="H2" s="1"/>
      <c r="I2" s="28"/>
    </row>
    <row r="3" spans="1:9" ht="15" thickBot="1" x14ac:dyDescent="0.4">
      <c r="A3" s="1"/>
      <c r="B3" s="1"/>
      <c r="C3" s="6"/>
      <c r="D3" s="30"/>
      <c r="E3" s="31"/>
      <c r="F3" s="1"/>
      <c r="G3" s="1"/>
      <c r="H3" s="2"/>
      <c r="I3" s="30"/>
    </row>
    <row r="4" spans="1:9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</row>
    <row r="5" spans="1:9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9" ht="15" thickBot="1" x14ac:dyDescent="0.4">
      <c r="A6" s="71"/>
      <c r="B6" s="341" t="s">
        <v>11</v>
      </c>
      <c r="C6" s="207"/>
      <c r="D6" s="207" t="s">
        <v>0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9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</row>
    <row r="8" spans="1:9" x14ac:dyDescent="0.35">
      <c r="A8" s="6"/>
      <c r="B8" s="361">
        <v>1</v>
      </c>
      <c r="C8" s="370">
        <v>17842</v>
      </c>
      <c r="D8" s="371">
        <f>ROUND((C8*1.075),0)</f>
        <v>19180</v>
      </c>
      <c r="E8" s="372">
        <f>D8/12</f>
        <v>1598.3333333333333</v>
      </c>
      <c r="F8" s="372">
        <f>SUM(D8/52.143)</f>
        <v>367.83460867230502</v>
      </c>
      <c r="G8" s="373">
        <f>SUM($D8/52.143)/37</f>
        <v>9.941475910062298</v>
      </c>
      <c r="H8" s="374">
        <f>SUM($D8/52.143)/37*1.1381</f>
        <v>11.3143937332419</v>
      </c>
      <c r="I8" s="311"/>
    </row>
    <row r="9" spans="1:9" ht="15" thickBot="1" x14ac:dyDescent="0.4">
      <c r="A9" s="6"/>
      <c r="B9" s="362">
        <v>2</v>
      </c>
      <c r="C9" s="375">
        <v>18198</v>
      </c>
      <c r="D9" s="376">
        <f>D11</f>
        <v>19563</v>
      </c>
      <c r="E9" s="377">
        <f>E11</f>
        <v>1630.25</v>
      </c>
      <c r="F9" s="377">
        <f>F11</f>
        <v>375.17979402796158</v>
      </c>
      <c r="G9" s="378">
        <f>G11</f>
        <v>10.13999443318815</v>
      </c>
      <c r="H9" s="379">
        <f>H11</f>
        <v>11.540327664411432</v>
      </c>
      <c r="I9" s="67"/>
    </row>
    <row r="10" spans="1:9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67"/>
    </row>
    <row r="11" spans="1:9" x14ac:dyDescent="0.35">
      <c r="A11" s="6"/>
      <c r="B11" s="342">
        <v>2</v>
      </c>
      <c r="C11" s="180">
        <v>18198</v>
      </c>
      <c r="D11" s="180">
        <f>ROUND((C11*1.075),0)</f>
        <v>19563</v>
      </c>
      <c r="E11" s="157">
        <f>D11/12</f>
        <v>1630.25</v>
      </c>
      <c r="F11" s="158">
        <f>SUM(D11/52.143)</f>
        <v>375.17979402796158</v>
      </c>
      <c r="G11" s="170">
        <f>SUM($D11/52.143)/37</f>
        <v>10.13999443318815</v>
      </c>
      <c r="H11" s="328">
        <f>SUM($D11/52.143)/37*1.1381</f>
        <v>11.540327664411432</v>
      </c>
      <c r="I11" s="67"/>
    </row>
    <row r="12" spans="1:9" ht="15" thickBot="1" x14ac:dyDescent="0.4">
      <c r="A12" s="6"/>
      <c r="B12" s="343">
        <v>3</v>
      </c>
      <c r="C12" s="223">
        <v>18562</v>
      </c>
      <c r="D12" s="223">
        <f>ROUND((C12*1.075),0)</f>
        <v>19954</v>
      </c>
      <c r="E12" s="151">
        <f>D12/12</f>
        <v>1662.8333333333333</v>
      </c>
      <c r="F12" s="152">
        <f>SUM(D12/52.143)</f>
        <v>382.67840362081199</v>
      </c>
      <c r="G12" s="163">
        <f>SUM($D12/52.143)/37</f>
        <v>10.342659557319243</v>
      </c>
      <c r="H12" s="322">
        <f>SUM($D12/52.143)/37*1.1381</f>
        <v>11.770980842185029</v>
      </c>
      <c r="I12" s="67"/>
    </row>
    <row r="13" spans="1:9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67"/>
    </row>
    <row r="14" spans="1:9" x14ac:dyDescent="0.35">
      <c r="A14" s="6"/>
      <c r="B14" s="342">
        <v>3</v>
      </c>
      <c r="C14" s="180">
        <f t="shared" ref="C14:H14" si="0">C12</f>
        <v>18562</v>
      </c>
      <c r="D14" s="183">
        <f t="shared" si="0"/>
        <v>19954</v>
      </c>
      <c r="E14" s="285">
        <f t="shared" si="0"/>
        <v>1662.8333333333333</v>
      </c>
      <c r="F14" s="285">
        <f t="shared" si="0"/>
        <v>382.67840362081199</v>
      </c>
      <c r="G14" s="284">
        <f t="shared" si="0"/>
        <v>10.342659557319243</v>
      </c>
      <c r="H14" s="331">
        <f t="shared" si="0"/>
        <v>11.770980842185029</v>
      </c>
      <c r="I14" s="67"/>
    </row>
    <row r="15" spans="1:9" ht="15" thickBot="1" x14ac:dyDescent="0.4">
      <c r="A15" s="6"/>
      <c r="B15" s="344">
        <v>4</v>
      </c>
      <c r="C15" s="182">
        <v>18933</v>
      </c>
      <c r="D15" s="178">
        <f>ROUND((C15*1.075),0)</f>
        <v>20353</v>
      </c>
      <c r="E15" s="159">
        <f>D15/12</f>
        <v>1696.0833333333333</v>
      </c>
      <c r="F15" s="160">
        <f>SUM(D15/52.143)</f>
        <v>390.33043745085627</v>
      </c>
      <c r="G15" s="172">
        <f>SUM($D15/52.143)/37</f>
        <v>10.549471282455574</v>
      </c>
      <c r="H15" s="333">
        <f>SUM($D15/52.143)/37*1.1381</f>
        <v>12.006353266562687</v>
      </c>
      <c r="I15" s="67"/>
    </row>
    <row r="16" spans="1:9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1"/>
    </row>
    <row r="17" spans="1:9" x14ac:dyDescent="0.35">
      <c r="A17" s="6"/>
      <c r="B17" s="342">
        <v>5</v>
      </c>
      <c r="C17" s="223">
        <v>19312</v>
      </c>
      <c r="D17" s="223">
        <f>ROUND((C17*1.075),0)</f>
        <v>20760</v>
      </c>
      <c r="E17" s="151">
        <f>D17/12</f>
        <v>1730</v>
      </c>
      <c r="F17" s="152">
        <f>SUM(D17/52.143)</f>
        <v>398.13589551809446</v>
      </c>
      <c r="G17" s="163">
        <f>SUM($D17/52.143)/37</f>
        <v>10.760429608597148</v>
      </c>
      <c r="H17" s="322">
        <f>SUM($D17/52.143)/37*1.1381</f>
        <v>12.246444937544412</v>
      </c>
      <c r="I17" s="67"/>
    </row>
    <row r="18" spans="1:9" ht="15" thickBot="1" x14ac:dyDescent="0.4">
      <c r="A18" s="6"/>
      <c r="B18" s="344">
        <v>6</v>
      </c>
      <c r="C18" s="182">
        <v>19698</v>
      </c>
      <c r="D18" s="178">
        <f>ROUND((C18*1.075),0)</f>
        <v>21175</v>
      </c>
      <c r="E18" s="159">
        <f>D18/12</f>
        <v>1764.5833333333333</v>
      </c>
      <c r="F18" s="160">
        <f>SUM(D18/52.143)</f>
        <v>406.09477782252651</v>
      </c>
      <c r="G18" s="172">
        <f>SUM($D18/52.143)/37</f>
        <v>10.975534535743959</v>
      </c>
      <c r="H18" s="333">
        <f>SUM($D18/52.143)/37*1.1381</f>
        <v>12.491255855130198</v>
      </c>
      <c r="I18" s="67"/>
    </row>
    <row r="19" spans="1:9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1"/>
    </row>
    <row r="20" spans="1:9" x14ac:dyDescent="0.35">
      <c r="A20" s="6"/>
      <c r="B20" s="342">
        <v>7</v>
      </c>
      <c r="C20" s="180">
        <v>20092</v>
      </c>
      <c r="D20" s="180">
        <f>ROUND((C20*1.075),0)</f>
        <v>21599</v>
      </c>
      <c r="E20" s="157">
        <f>D20/12</f>
        <v>1799.9166666666667</v>
      </c>
      <c r="F20" s="158">
        <f>SUM(D20/52.143)</f>
        <v>414.22626239380168</v>
      </c>
      <c r="G20" s="170">
        <f>SUM($D20/52.143)/37</f>
        <v>11.195304389021667</v>
      </c>
      <c r="H20" s="328">
        <f>SUM($D20/52.143)/37*1.1381</f>
        <v>12.741375925145558</v>
      </c>
      <c r="I20" s="67"/>
    </row>
    <row r="21" spans="1:9" x14ac:dyDescent="0.35">
      <c r="A21" s="6"/>
      <c r="B21" s="342">
        <v>8</v>
      </c>
      <c r="C21" s="175">
        <v>20493</v>
      </c>
      <c r="D21" s="175">
        <f>ROUND((C21*1.075),0)</f>
        <v>22030</v>
      </c>
      <c r="E21" s="149">
        <f>D21/12</f>
        <v>1835.8333333333333</v>
      </c>
      <c r="F21" s="150">
        <f>SUM(D21/52.143)</f>
        <v>422.49199317262145</v>
      </c>
      <c r="G21" s="161">
        <f>SUM($D21/52.143)/37</f>
        <v>11.418702518178957</v>
      </c>
      <c r="H21" s="329">
        <f>SUM($D21/52.143)/37*1.1381</f>
        <v>12.99562533593947</v>
      </c>
      <c r="I21" s="67"/>
    </row>
    <row r="22" spans="1:9" x14ac:dyDescent="0.35">
      <c r="A22" s="6"/>
      <c r="B22" s="342">
        <v>9</v>
      </c>
      <c r="C22" s="175">
        <v>20903</v>
      </c>
      <c r="D22" s="175">
        <f>ROUND((C22*1.075),0)</f>
        <v>22471</v>
      </c>
      <c r="E22" s="149">
        <f>D22/12</f>
        <v>1872.5833333333333</v>
      </c>
      <c r="F22" s="150">
        <f>SUM(D22/52.143)</f>
        <v>430.94950424793359</v>
      </c>
      <c r="G22" s="161">
        <f>SUM($D22/52.143)/37</f>
        <v>11.6472838985928</v>
      </c>
      <c r="H22" s="329">
        <f>SUM($D22/52.143)/37*1.1381</f>
        <v>13.255773804988465</v>
      </c>
      <c r="I22" s="67"/>
    </row>
    <row r="23" spans="1:9" x14ac:dyDescent="0.35">
      <c r="A23" s="6"/>
      <c r="B23" s="345">
        <v>10</v>
      </c>
      <c r="C23" s="223">
        <v>21322</v>
      </c>
      <c r="D23" s="223">
        <f>ROUND((C23*1.075),0)</f>
        <v>22921</v>
      </c>
      <c r="E23" s="151">
        <f>D23/12</f>
        <v>1910.0833333333333</v>
      </c>
      <c r="F23" s="152">
        <f>SUM(D23/52.143)</f>
        <v>439.57961759008879</v>
      </c>
      <c r="G23" s="163">
        <f>SUM($D23/52.143)/37</f>
        <v>11.880530205137536</v>
      </c>
      <c r="H23" s="322">
        <f>SUM($D23/52.143)/37*1.1381</f>
        <v>13.521231426467027</v>
      </c>
      <c r="I23" s="67"/>
    </row>
    <row r="24" spans="1:9" ht="15" thickBot="1" x14ac:dyDescent="0.4">
      <c r="A24" s="6"/>
      <c r="B24" s="344">
        <v>11</v>
      </c>
      <c r="C24" s="182">
        <v>21748</v>
      </c>
      <c r="D24" s="178">
        <f>ROUND((C24*1.075),0)</f>
        <v>23379</v>
      </c>
      <c r="E24" s="159">
        <f>D24/12</f>
        <v>1948.25</v>
      </c>
      <c r="F24" s="160">
        <f>SUM(D24/52.143)</f>
        <v>448.3631551694379</v>
      </c>
      <c r="G24" s="172">
        <f>SUM($D24/52.143)/37</f>
        <v>12.11792311268751</v>
      </c>
      <c r="H24" s="333">
        <f>SUM($D24/52.143)/37*1.1381</f>
        <v>13.791408294549655</v>
      </c>
      <c r="I24" s="67"/>
    </row>
    <row r="25" spans="1:9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1"/>
    </row>
    <row r="26" spans="1:9" x14ac:dyDescent="0.35">
      <c r="A26" s="6"/>
      <c r="B26" s="342">
        <v>12</v>
      </c>
      <c r="C26" s="180">
        <v>22183</v>
      </c>
      <c r="D26" s="180">
        <f t="shared" ref="D26:D31" si="1">ROUND((C26*1.075),0)</f>
        <v>23847</v>
      </c>
      <c r="E26" s="157">
        <f t="shared" ref="E26:E31" si="2">D26/12</f>
        <v>1987.25</v>
      </c>
      <c r="F26" s="158">
        <f t="shared" ref="F26:F31" si="3">SUM(D26/52.143)</f>
        <v>457.33847304527933</v>
      </c>
      <c r="G26" s="170">
        <f t="shared" ref="G26:G31" si="4">SUM($D26/52.143)/37</f>
        <v>12.360499271494035</v>
      </c>
      <c r="H26" s="328">
        <f t="shared" ref="H26:H31" si="5">SUM($D26/52.143)/37*1.1381</f>
        <v>14.06748422088736</v>
      </c>
      <c r="I26" s="67"/>
    </row>
    <row r="27" spans="1:9" x14ac:dyDescent="0.35">
      <c r="A27" s="6"/>
      <c r="B27" s="342">
        <v>13</v>
      </c>
      <c r="C27" s="175">
        <v>22627</v>
      </c>
      <c r="D27" s="175">
        <f t="shared" si="1"/>
        <v>24324</v>
      </c>
      <c r="E27" s="149">
        <f t="shared" si="2"/>
        <v>2027</v>
      </c>
      <c r="F27" s="150">
        <f t="shared" si="3"/>
        <v>466.48639318796387</v>
      </c>
      <c r="G27" s="161">
        <f t="shared" si="4"/>
        <v>12.607740356431457</v>
      </c>
      <c r="H27" s="329">
        <f t="shared" si="5"/>
        <v>14.348869299654639</v>
      </c>
      <c r="I27" s="67"/>
    </row>
    <row r="28" spans="1:9" x14ac:dyDescent="0.35">
      <c r="A28" s="6"/>
      <c r="B28" s="342">
        <v>14</v>
      </c>
      <c r="C28" s="175">
        <v>23080</v>
      </c>
      <c r="D28" s="175">
        <f t="shared" si="1"/>
        <v>24811</v>
      </c>
      <c r="E28" s="149">
        <f t="shared" si="2"/>
        <v>2067.5833333333335</v>
      </c>
      <c r="F28" s="150">
        <f t="shared" si="3"/>
        <v>475.82609362714072</v>
      </c>
      <c r="G28" s="161">
        <f t="shared" si="4"/>
        <v>12.860164692625425</v>
      </c>
      <c r="H28" s="329">
        <f t="shared" si="5"/>
        <v>14.636153436676995</v>
      </c>
      <c r="I28" s="67"/>
    </row>
    <row r="29" spans="1:9" x14ac:dyDescent="0.35">
      <c r="A29" s="6"/>
      <c r="B29" s="342">
        <v>15</v>
      </c>
      <c r="C29" s="175">
        <v>23541</v>
      </c>
      <c r="D29" s="175">
        <f t="shared" si="1"/>
        <v>25307</v>
      </c>
      <c r="E29" s="149">
        <f t="shared" si="2"/>
        <v>2108.9166666666665</v>
      </c>
      <c r="F29" s="150">
        <f t="shared" si="3"/>
        <v>485.33839633316074</v>
      </c>
      <c r="G29" s="161">
        <f t="shared" si="4"/>
        <v>13.117253954950291</v>
      </c>
      <c r="H29" s="329">
        <f t="shared" si="5"/>
        <v>14.928746726128924</v>
      </c>
      <c r="I29" s="67"/>
    </row>
    <row r="30" spans="1:9" x14ac:dyDescent="0.35">
      <c r="A30" s="6"/>
      <c r="B30" s="342">
        <v>16</v>
      </c>
      <c r="C30" s="223">
        <v>24012</v>
      </c>
      <c r="D30" s="223">
        <f t="shared" si="1"/>
        <v>25813</v>
      </c>
      <c r="E30" s="151">
        <f t="shared" si="2"/>
        <v>2151.0833333333335</v>
      </c>
      <c r="F30" s="152">
        <f t="shared" si="3"/>
        <v>495.04247933567302</v>
      </c>
      <c r="G30" s="163">
        <f t="shared" si="4"/>
        <v>13.379526468531703</v>
      </c>
      <c r="H30" s="322">
        <f t="shared" si="5"/>
        <v>15.227239073835928</v>
      </c>
      <c r="I30" s="67"/>
    </row>
    <row r="31" spans="1:9" ht="15" thickBot="1" x14ac:dyDescent="0.4">
      <c r="A31" s="6"/>
      <c r="B31" s="345">
        <v>17</v>
      </c>
      <c r="C31" s="182">
        <v>24491</v>
      </c>
      <c r="D31" s="182">
        <f t="shared" si="1"/>
        <v>26328</v>
      </c>
      <c r="E31" s="159">
        <f t="shared" si="2"/>
        <v>2194</v>
      </c>
      <c r="F31" s="160">
        <f t="shared" si="3"/>
        <v>504.91916460502847</v>
      </c>
      <c r="G31" s="172">
        <f t="shared" si="4"/>
        <v>13.646463908244012</v>
      </c>
      <c r="H31" s="333">
        <f t="shared" si="5"/>
        <v>15.531040573972509</v>
      </c>
      <c r="I31" s="67"/>
    </row>
    <row r="32" spans="1:9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1"/>
    </row>
    <row r="33" spans="1:9" s="1" customFormat="1" ht="15.75" customHeight="1" x14ac:dyDescent="0.2">
      <c r="B33" s="346">
        <v>18</v>
      </c>
      <c r="C33" s="339">
        <v>24982</v>
      </c>
      <c r="D33" s="296">
        <f>ROUND((C33*1.075),0)</f>
        <v>26856</v>
      </c>
      <c r="E33" s="297">
        <f>D33/12</f>
        <v>2238</v>
      </c>
      <c r="F33" s="297">
        <f>SUM(D33/52.143)</f>
        <v>515.04516425982399</v>
      </c>
      <c r="G33" s="298">
        <f>SUM($D33/52.143)/37</f>
        <v>13.920139574589838</v>
      </c>
      <c r="H33" s="336">
        <f>SUM($D33/52.143)/37*1.1381</f>
        <v>15.842510849840693</v>
      </c>
      <c r="I33" s="67"/>
    </row>
    <row r="34" spans="1:9" x14ac:dyDescent="0.35">
      <c r="A34" s="6"/>
      <c r="B34" s="342">
        <v>19</v>
      </c>
      <c r="C34" s="180">
        <v>25481</v>
      </c>
      <c r="D34" s="180">
        <f>ROUND((C34*1.075),0)</f>
        <v>27392</v>
      </c>
      <c r="E34" s="157">
        <f>D34/12</f>
        <v>2282.6666666666665</v>
      </c>
      <c r="F34" s="158">
        <f>SUM(D34/52.143)</f>
        <v>525.32458815181326</v>
      </c>
      <c r="G34" s="170">
        <f>SUM($D34/52.143)/37</f>
        <v>14.197961841940899</v>
      </c>
      <c r="H34" s="328">
        <f>SUM($D34/52.143)/37*1.1381</f>
        <v>16.158700372312936</v>
      </c>
      <c r="I34" s="67"/>
    </row>
    <row r="35" spans="1:9" x14ac:dyDescent="0.35">
      <c r="A35" s="6"/>
      <c r="B35" s="342">
        <v>20</v>
      </c>
      <c r="C35" s="175">
        <v>25991</v>
      </c>
      <c r="D35" s="175">
        <f>ROUND((C35*1.075),0)</f>
        <v>27940</v>
      </c>
      <c r="E35" s="149">
        <f>D35/12</f>
        <v>2328.3333333333335</v>
      </c>
      <c r="F35" s="150">
        <f>SUM(D35/52.143)</f>
        <v>535.83414839959346</v>
      </c>
      <c r="G35" s="161">
        <f>SUM($D35/52.143)/37</f>
        <v>14.482004010799823</v>
      </c>
      <c r="H35" s="329">
        <f>SUM($D35/52.143)/37*1.1381</f>
        <v>16.481968764691278</v>
      </c>
      <c r="I35" s="67"/>
    </row>
    <row r="36" spans="1:9" x14ac:dyDescent="0.35">
      <c r="A36" s="6"/>
      <c r="B36" s="345">
        <v>21</v>
      </c>
      <c r="C36" s="223">
        <v>26511</v>
      </c>
      <c r="D36" s="223">
        <f>ROUND((C36*1.075),0)</f>
        <v>28499</v>
      </c>
      <c r="E36" s="151">
        <f>D36/12</f>
        <v>2374.9166666666665</v>
      </c>
      <c r="F36" s="152">
        <f>SUM(D36/52.143)</f>
        <v>546.55466697351517</v>
      </c>
      <c r="G36" s="163">
        <f>SUM($D36/52.143)/37</f>
        <v>14.77174775604095</v>
      </c>
      <c r="H36" s="322">
        <f>SUM($D36/52.143)/37*1.1381</f>
        <v>16.811726121150205</v>
      </c>
      <c r="I36" s="67"/>
    </row>
    <row r="37" spans="1:9" ht="15" thickBot="1" x14ac:dyDescent="0.4">
      <c r="A37" s="6"/>
      <c r="B37" s="344">
        <v>22</v>
      </c>
      <c r="C37" s="182">
        <v>27041</v>
      </c>
      <c r="D37" s="182">
        <f>ROUND((C37*1.075),0)</f>
        <v>29069</v>
      </c>
      <c r="E37" s="159">
        <f>D37/12</f>
        <v>2422.4166666666665</v>
      </c>
      <c r="F37" s="160">
        <f>SUM(D37/52.143)</f>
        <v>557.48614387357838</v>
      </c>
      <c r="G37" s="172">
        <f>SUM($D37/52.143)/37</f>
        <v>15.06719307766428</v>
      </c>
      <c r="H37" s="333">
        <f>SUM($D37/52.143)/37*1.1381</f>
        <v>17.147972441689717</v>
      </c>
      <c r="I37" s="67"/>
    </row>
    <row r="38" spans="1:9" ht="15" thickBot="1" x14ac:dyDescent="0.4">
      <c r="A38" s="6"/>
      <c r="B38" s="345"/>
      <c r="C38" s="64"/>
      <c r="D38" s="64"/>
      <c r="E38" s="65"/>
      <c r="F38" s="65"/>
      <c r="G38" s="65"/>
      <c r="H38" s="66"/>
      <c r="I38" s="67"/>
    </row>
    <row r="39" spans="1:9" x14ac:dyDescent="0.35">
      <c r="B39" s="360" t="s">
        <v>22</v>
      </c>
      <c r="C39" s="347"/>
      <c r="D39" s="348" t="s">
        <v>20</v>
      </c>
      <c r="E39" s="349" t="s">
        <v>49</v>
      </c>
      <c r="F39" s="350"/>
      <c r="G39" s="351" t="s">
        <v>21</v>
      </c>
      <c r="H39" s="352" t="s">
        <v>48</v>
      </c>
      <c r="I39" s="29"/>
    </row>
    <row r="40" spans="1:9" ht="15" thickBot="1" x14ac:dyDescent="0.4">
      <c r="A40" s="1"/>
      <c r="B40" s="359">
        <v>8</v>
      </c>
      <c r="C40" s="353">
        <f>C21</f>
        <v>20493</v>
      </c>
      <c r="D40" s="354">
        <v>626</v>
      </c>
      <c r="E40" s="355">
        <f>C40+D40</f>
        <v>21119</v>
      </c>
      <c r="F40" s="356"/>
      <c r="G40" s="357">
        <f>SUM(C40+D40)/37/52.143</f>
        <v>10.946508328707282</v>
      </c>
      <c r="H40" s="358">
        <f>E40/52.143/37*1.1381</f>
        <v>12.458221128901755</v>
      </c>
      <c r="I40" s="382"/>
    </row>
    <row r="41" spans="1:9" x14ac:dyDescent="0.35">
      <c r="A41" s="1"/>
      <c r="B41" s="1"/>
      <c r="C41" s="5"/>
      <c r="D41" s="1"/>
      <c r="E41" s="1"/>
      <c r="F41" s="1"/>
      <c r="G41" s="1"/>
      <c r="H41" s="4"/>
      <c r="I41" s="1"/>
    </row>
    <row r="42" spans="1:9" x14ac:dyDescent="0.35">
      <c r="A42" s="70" t="s">
        <v>47</v>
      </c>
      <c r="B42" s="70"/>
      <c r="C42" s="71"/>
      <c r="D42" s="72"/>
      <c r="E42" s="73"/>
      <c r="F42" s="74"/>
      <c r="G42" s="74"/>
      <c r="H42" s="75"/>
      <c r="I42" s="2"/>
    </row>
    <row r="43" spans="1:9" x14ac:dyDescent="0.35">
      <c r="A43" s="76"/>
      <c r="B43" s="76"/>
      <c r="C43" s="71"/>
      <c r="D43" s="74"/>
      <c r="E43" s="73"/>
      <c r="F43" s="74"/>
      <c r="G43" s="74"/>
      <c r="H43" s="75"/>
      <c r="I43" s="1"/>
    </row>
    <row r="44" spans="1:9" x14ac:dyDescent="0.35">
      <c r="A44" s="77" t="s">
        <v>60</v>
      </c>
      <c r="C44" s="6"/>
      <c r="D44" s="75"/>
      <c r="E44" s="29"/>
      <c r="F44" s="75"/>
      <c r="G44" s="75"/>
      <c r="H44" s="75"/>
      <c r="I44" s="1"/>
    </row>
    <row r="45" spans="1:9" x14ac:dyDescent="0.35">
      <c r="A45" s="1"/>
      <c r="B45" s="1"/>
      <c r="C45" s="6"/>
      <c r="D45" s="75"/>
      <c r="E45" s="78"/>
      <c r="F45" s="29"/>
      <c r="G45" s="29"/>
      <c r="H45" s="29"/>
      <c r="I45" s="1"/>
    </row>
    <row r="46" spans="1:9" x14ac:dyDescent="0.35">
      <c r="A46" s="224" t="s">
        <v>24</v>
      </c>
      <c r="B46" s="235" t="s">
        <v>25</v>
      </c>
      <c r="C46" s="236"/>
      <c r="D46" s="237" t="s">
        <v>26</v>
      </c>
      <c r="F46" s="29"/>
      <c r="G46" s="29"/>
      <c r="H46" s="29"/>
      <c r="I46" s="1"/>
    </row>
    <row r="47" spans="1:9" x14ac:dyDescent="0.35">
      <c r="A47" s="221"/>
      <c r="B47" s="238"/>
      <c r="C47" s="239"/>
      <c r="D47" s="240" t="s">
        <v>27</v>
      </c>
      <c r="F47" s="29"/>
      <c r="G47" s="29"/>
      <c r="H47" s="29"/>
      <c r="I47" s="1"/>
    </row>
    <row r="48" spans="1:9" x14ac:dyDescent="0.35">
      <c r="A48" s="1"/>
      <c r="B48" s="6"/>
      <c r="C48" s="75"/>
      <c r="D48" s="87"/>
      <c r="F48" s="29"/>
      <c r="G48" s="29"/>
      <c r="H48" s="29"/>
      <c r="I48" s="1"/>
    </row>
    <row r="49" spans="1:9" x14ac:dyDescent="0.35">
      <c r="A49" s="214" t="s">
        <v>28</v>
      </c>
      <c r="B49" s="89" t="s">
        <v>29</v>
      </c>
      <c r="C49" s="90">
        <v>10000</v>
      </c>
      <c r="D49" s="91">
        <v>45</v>
      </c>
      <c r="F49" s="29"/>
      <c r="G49" s="29"/>
      <c r="H49" s="29"/>
      <c r="I49" s="1"/>
    </row>
    <row r="50" spans="1:9" x14ac:dyDescent="0.35">
      <c r="A50" s="1"/>
      <c r="B50" s="92" t="s">
        <v>30</v>
      </c>
      <c r="C50" s="90">
        <v>10000</v>
      </c>
      <c r="D50" s="93">
        <v>25</v>
      </c>
      <c r="F50" s="29"/>
      <c r="G50" s="29"/>
      <c r="H50" s="29"/>
      <c r="I50" s="1"/>
    </row>
    <row r="51" spans="1:9" x14ac:dyDescent="0.35">
      <c r="A51" s="1"/>
      <c r="B51" s="1"/>
      <c r="C51" s="6"/>
      <c r="D51" s="1"/>
      <c r="E51" s="78"/>
      <c r="F51" s="29"/>
      <c r="G51" s="29"/>
      <c r="H51" s="29"/>
      <c r="I51" s="2"/>
    </row>
    <row r="52" spans="1:9" x14ac:dyDescent="0.3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35">
      <c r="A53" s="7"/>
      <c r="B53" s="7"/>
      <c r="C53" s="7"/>
      <c r="D53" s="7"/>
      <c r="E53" s="16"/>
      <c r="F53" s="241"/>
      <c r="G53" s="10"/>
      <c r="H53" s="242"/>
      <c r="I53" s="7"/>
    </row>
    <row r="54" spans="1:9" x14ac:dyDescent="0.35">
      <c r="A54" s="243"/>
      <c r="B54" s="243"/>
      <c r="C54" s="244"/>
      <c r="D54" s="10"/>
      <c r="E54" s="16"/>
      <c r="F54" s="241"/>
      <c r="G54" s="10"/>
      <c r="H54" s="242"/>
      <c r="I54" s="7"/>
    </row>
    <row r="55" spans="1:9" x14ac:dyDescent="0.35">
      <c r="A55" s="7" t="s">
        <v>67</v>
      </c>
      <c r="B55" s="7"/>
      <c r="C55" s="7"/>
      <c r="D55" s="10"/>
      <c r="E55" s="16"/>
      <c r="F55" s="241"/>
      <c r="G55" s="10"/>
      <c r="H55" s="242"/>
      <c r="I55" s="7"/>
    </row>
    <row r="56" spans="1:9" x14ac:dyDescent="0.35">
      <c r="A56" s="301" t="s">
        <v>31</v>
      </c>
      <c r="B56" s="116" t="s">
        <v>68</v>
      </c>
      <c r="C56" s="74"/>
      <c r="D56" s="300"/>
      <c r="E56" s="245"/>
      <c r="G56" s="7" t="s">
        <v>32</v>
      </c>
    </row>
    <row r="57" spans="1:9" x14ac:dyDescent="0.35">
      <c r="A57" s="1"/>
      <c r="B57" s="101"/>
      <c r="C57" s="75"/>
      <c r="D57" s="246"/>
      <c r="E57" s="245"/>
      <c r="F57" s="75"/>
      <c r="G57" s="247"/>
      <c r="H57" s="7"/>
    </row>
    <row r="58" spans="1:9" x14ac:dyDescent="0.35">
      <c r="A58" s="202" t="s">
        <v>33</v>
      </c>
      <c r="B58" s="203" t="s">
        <v>8</v>
      </c>
      <c r="C58" s="203" t="s">
        <v>4</v>
      </c>
      <c r="D58" s="203" t="s">
        <v>5</v>
      </c>
      <c r="E58" s="204" t="s">
        <v>6</v>
      </c>
      <c r="F58" s="205" t="s">
        <v>7</v>
      </c>
      <c r="G58" s="12"/>
    </row>
    <row r="59" spans="1:9" x14ac:dyDescent="0.35">
      <c r="A59" s="211"/>
      <c r="B59" s="212" t="s">
        <v>11</v>
      </c>
      <c r="C59" s="212" t="s">
        <v>9</v>
      </c>
      <c r="D59" s="302" t="s">
        <v>9</v>
      </c>
      <c r="E59" s="303" t="s">
        <v>9</v>
      </c>
      <c r="F59" s="304" t="s">
        <v>10</v>
      </c>
      <c r="G59" s="13" t="s">
        <v>34</v>
      </c>
    </row>
    <row r="60" spans="1:9" x14ac:dyDescent="0.35">
      <c r="A60" s="1"/>
      <c r="B60" s="6"/>
      <c r="C60" s="14" t="s">
        <v>14</v>
      </c>
      <c r="D60" s="14" t="s">
        <v>14</v>
      </c>
      <c r="E60" s="14" t="s">
        <v>14</v>
      </c>
      <c r="F60" s="305" t="s">
        <v>14</v>
      </c>
      <c r="G60" s="306" t="s">
        <v>14</v>
      </c>
    </row>
    <row r="61" spans="1:9" x14ac:dyDescent="0.35">
      <c r="A61" s="249">
        <v>8</v>
      </c>
      <c r="B61" s="109">
        <v>1</v>
      </c>
      <c r="C61" s="175">
        <f>30596*1.0275</f>
        <v>31437.390000000003</v>
      </c>
      <c r="D61" s="148">
        <f>C61/12</f>
        <v>2619.7825000000003</v>
      </c>
      <c r="E61" s="149">
        <f>SUM(C61/52.143)</f>
        <v>602.90719751452741</v>
      </c>
      <c r="F61" s="174">
        <f>SUM(C61/52.143)/37</f>
        <v>16.294789122014254</v>
      </c>
      <c r="G61" s="234">
        <f t="shared" ref="G61:G70" si="6">SUM(C61*113.81%)</f>
        <v>35778.893559000004</v>
      </c>
      <c r="I61" s="383"/>
    </row>
    <row r="62" spans="1:9" x14ac:dyDescent="0.35">
      <c r="A62" s="110"/>
      <c r="B62" s="111">
        <v>2</v>
      </c>
      <c r="C62" s="175">
        <f>31421*1.0275</f>
        <v>32285.077500000003</v>
      </c>
      <c r="D62" s="148">
        <f t="shared" ref="D62:D69" si="7">C62/12</f>
        <v>2690.4231250000003</v>
      </c>
      <c r="E62" s="149">
        <f t="shared" ref="E62:E70" si="8">SUM(C62/52.143)</f>
        <v>619.16417352281235</v>
      </c>
      <c r="F62" s="174">
        <f t="shared" ref="F62:F70" si="9">SUM(C62/52.143)/37</f>
        <v>16.734166851967903</v>
      </c>
      <c r="G62" s="234">
        <f t="shared" si="6"/>
        <v>36743.646702750004</v>
      </c>
    </row>
    <row r="63" spans="1:9" x14ac:dyDescent="0.35">
      <c r="A63" s="110"/>
      <c r="B63" s="111">
        <v>3</v>
      </c>
      <c r="C63" s="175">
        <f>32239*1.0275</f>
        <v>33125.572500000002</v>
      </c>
      <c r="D63" s="148">
        <f t="shared" si="7"/>
        <v>2760.464375</v>
      </c>
      <c r="E63" s="149">
        <f t="shared" si="8"/>
        <v>635.28321155284505</v>
      </c>
      <c r="F63" s="174">
        <f t="shared" si="9"/>
        <v>17.169816528455272</v>
      </c>
      <c r="G63" s="234">
        <f t="shared" si="6"/>
        <v>37700.214062250008</v>
      </c>
    </row>
    <row r="64" spans="1:9" x14ac:dyDescent="0.35">
      <c r="A64" s="110"/>
      <c r="B64" s="111">
        <v>4</v>
      </c>
      <c r="C64" s="175">
        <f>33193*1.0275</f>
        <v>34105.807500000003</v>
      </c>
      <c r="D64" s="148">
        <f t="shared" si="7"/>
        <v>2842.1506250000002</v>
      </c>
      <c r="E64" s="149">
        <f t="shared" si="8"/>
        <v>654.08218744606188</v>
      </c>
      <c r="F64" s="174">
        <f t="shared" si="9"/>
        <v>17.677896958001671</v>
      </c>
      <c r="G64" s="234">
        <f t="shared" si="6"/>
        <v>38815.819515750009</v>
      </c>
    </row>
    <row r="65" spans="1:9" x14ac:dyDescent="0.35">
      <c r="A65" s="110"/>
      <c r="B65" s="111">
        <v>5</v>
      </c>
      <c r="C65" s="175">
        <f>34152*1.0275</f>
        <v>35091.18</v>
      </c>
      <c r="D65" s="148">
        <f t="shared" si="7"/>
        <v>2924.2649999999999</v>
      </c>
      <c r="E65" s="149">
        <f t="shared" si="8"/>
        <v>672.97969046660148</v>
      </c>
      <c r="F65" s="174">
        <f t="shared" si="9"/>
        <v>18.188640282881121</v>
      </c>
      <c r="G65" s="234">
        <f t="shared" si="6"/>
        <v>39937.271958000005</v>
      </c>
    </row>
    <row r="66" spans="1:9" x14ac:dyDescent="0.35">
      <c r="A66" s="249">
        <v>7</v>
      </c>
      <c r="B66" s="109">
        <v>1</v>
      </c>
      <c r="C66" s="175">
        <f>34833*1.0275</f>
        <v>35790.907500000001</v>
      </c>
      <c r="D66" s="148">
        <f t="shared" si="7"/>
        <v>2982.5756249999999</v>
      </c>
      <c r="E66" s="149">
        <f t="shared" si="8"/>
        <v>686.39908520798576</v>
      </c>
      <c r="F66" s="174">
        <f t="shared" si="9"/>
        <v>18.551326627242858</v>
      </c>
      <c r="G66" s="234">
        <f t="shared" si="6"/>
        <v>40733.631825750002</v>
      </c>
    </row>
    <row r="67" spans="1:9" x14ac:dyDescent="0.35">
      <c r="A67" s="110"/>
      <c r="B67" s="111">
        <v>2</v>
      </c>
      <c r="C67" s="175">
        <f>35790*1.0275</f>
        <v>36774.225000000006</v>
      </c>
      <c r="D67" s="148">
        <f t="shared" si="7"/>
        <v>3064.5187500000006</v>
      </c>
      <c r="E67" s="149">
        <f t="shared" si="8"/>
        <v>705.25717737759635</v>
      </c>
      <c r="F67" s="174">
        <f t="shared" si="9"/>
        <v>19.061004793989092</v>
      </c>
      <c r="G67" s="234">
        <f t="shared" si="6"/>
        <v>41852.745472500013</v>
      </c>
    </row>
    <row r="68" spans="1:9" x14ac:dyDescent="0.35">
      <c r="A68" s="110"/>
      <c r="B68" s="111">
        <v>3</v>
      </c>
      <c r="C68" s="175">
        <f>36747*1.0275</f>
        <v>37757.542500000003</v>
      </c>
      <c r="D68" s="148">
        <f t="shared" si="7"/>
        <v>3146.4618750000004</v>
      </c>
      <c r="E68" s="149">
        <f t="shared" si="8"/>
        <v>724.11526954720682</v>
      </c>
      <c r="F68" s="174">
        <f t="shared" si="9"/>
        <v>19.570682960735319</v>
      </c>
      <c r="G68" s="234">
        <f t="shared" si="6"/>
        <v>42971.85911925001</v>
      </c>
    </row>
    <row r="69" spans="1:9" x14ac:dyDescent="0.35">
      <c r="A69" s="110"/>
      <c r="B69" s="111">
        <v>4</v>
      </c>
      <c r="C69" s="175">
        <f>37702*1.0275</f>
        <v>38738.805</v>
      </c>
      <c r="D69" s="148">
        <f t="shared" si="7"/>
        <v>3228.2337499999999</v>
      </c>
      <c r="E69" s="149">
        <f t="shared" si="8"/>
        <v>742.93395086588805</v>
      </c>
      <c r="F69" s="174">
        <f t="shared" si="9"/>
        <v>20.079295969348326</v>
      </c>
      <c r="G69" s="234">
        <f t="shared" si="6"/>
        <v>44088.633970500006</v>
      </c>
    </row>
    <row r="70" spans="1:9" x14ac:dyDescent="0.35">
      <c r="A70" s="110"/>
      <c r="B70" s="111">
        <v>5</v>
      </c>
      <c r="C70" s="175">
        <f>38625*1.0275</f>
        <v>39687.1875</v>
      </c>
      <c r="D70" s="148">
        <f>C70/12</f>
        <v>3307.265625</v>
      </c>
      <c r="E70" s="149">
        <f t="shared" si="8"/>
        <v>761.12205856970252</v>
      </c>
      <c r="F70" s="174">
        <f t="shared" si="9"/>
        <v>20.570866447829797</v>
      </c>
      <c r="G70" s="234">
        <f t="shared" si="6"/>
        <v>45167.988093750006</v>
      </c>
    </row>
    <row r="71" spans="1:9" x14ac:dyDescent="0.35">
      <c r="A71" s="1"/>
      <c r="B71" s="6"/>
      <c r="C71" s="112"/>
      <c r="D71" s="58"/>
      <c r="E71" s="58"/>
      <c r="F71" s="66"/>
      <c r="G71" s="248"/>
      <c r="H71" s="7"/>
    </row>
    <row r="72" spans="1:9" x14ac:dyDescent="0.35">
      <c r="A72" s="1"/>
      <c r="B72" s="6"/>
      <c r="C72" s="67"/>
      <c r="D72" s="65"/>
      <c r="E72" s="65"/>
      <c r="F72" s="66"/>
      <c r="G72" s="248"/>
      <c r="H72" s="7"/>
    </row>
    <row r="73" spans="1:9" x14ac:dyDescent="0.35">
      <c r="A73" s="1"/>
      <c r="B73" s="6"/>
      <c r="C73" s="67"/>
      <c r="D73" s="65"/>
      <c r="E73" s="65"/>
      <c r="F73" s="66"/>
      <c r="G73" s="248"/>
      <c r="H73" s="7"/>
    </row>
    <row r="74" spans="1:9" x14ac:dyDescent="0.35">
      <c r="A74" s="1"/>
      <c r="B74" s="6"/>
      <c r="C74" s="67"/>
      <c r="D74" s="65"/>
      <c r="E74" s="65"/>
      <c r="F74" s="66"/>
      <c r="G74" s="248"/>
      <c r="H74" s="7"/>
    </row>
    <row r="75" spans="1:9" x14ac:dyDescent="0.35">
      <c r="A75" s="1"/>
      <c r="B75" s="6"/>
      <c r="C75" s="67"/>
      <c r="D75" s="65"/>
      <c r="E75" s="65"/>
      <c r="F75" s="66"/>
      <c r="G75" s="248"/>
      <c r="H75" s="7"/>
    </row>
    <row r="76" spans="1:9" x14ac:dyDescent="0.35">
      <c r="A76" s="1"/>
      <c r="B76" s="6"/>
      <c r="C76" s="67"/>
      <c r="D76" s="65"/>
      <c r="E76" s="65"/>
      <c r="F76" s="66"/>
      <c r="G76" s="248"/>
      <c r="H76" s="7"/>
    </row>
    <row r="77" spans="1:9" x14ac:dyDescent="0.35">
      <c r="A77" s="1"/>
      <c r="B77" s="6"/>
      <c r="C77" s="67"/>
      <c r="D77" s="65"/>
      <c r="E77" s="65"/>
      <c r="F77" s="66"/>
      <c r="G77" s="248"/>
      <c r="H77" s="7"/>
    </row>
    <row r="78" spans="1:9" x14ac:dyDescent="0.35">
      <c r="A78" s="1"/>
      <c r="B78" s="1"/>
      <c r="C78" s="6"/>
      <c r="D78" s="67"/>
      <c r="E78" s="65"/>
      <c r="F78" s="65"/>
      <c r="G78" s="66"/>
      <c r="H78" s="248"/>
      <c r="I78" s="7"/>
    </row>
    <row r="79" spans="1:9" x14ac:dyDescent="0.35">
      <c r="A79" s="253"/>
      <c r="B79" s="253"/>
      <c r="C79" s="6"/>
      <c r="D79" s="67"/>
      <c r="E79" s="254"/>
      <c r="F79" s="255"/>
      <c r="G79" s="66"/>
      <c r="H79" s="248"/>
      <c r="I79" s="7"/>
    </row>
    <row r="80" spans="1:9" x14ac:dyDescent="0.35">
      <c r="A80" s="7" t="s">
        <v>69</v>
      </c>
      <c r="B80" s="7"/>
      <c r="C80" s="116"/>
      <c r="D80" s="117"/>
      <c r="E80" s="16"/>
      <c r="F80" s="256"/>
      <c r="G80" s="257"/>
      <c r="H80" s="242"/>
      <c r="I80" s="7"/>
    </row>
    <row r="81" spans="1:9" x14ac:dyDescent="0.35">
      <c r="A81" s="125" t="s">
        <v>35</v>
      </c>
      <c r="B81" s="116" t="s">
        <v>68</v>
      </c>
      <c r="C81" s="126"/>
      <c r="D81" s="127"/>
      <c r="G81" s="258"/>
      <c r="H81" s="7"/>
      <c r="I81" s="16"/>
    </row>
    <row r="82" spans="1:9" x14ac:dyDescent="0.35">
      <c r="A82" s="125"/>
      <c r="B82" s="125"/>
      <c r="C82" s="126"/>
      <c r="D82" s="127"/>
      <c r="E82" s="421"/>
      <c r="F82" s="421"/>
      <c r="G82" s="128"/>
      <c r="H82" s="242"/>
      <c r="I82" s="7"/>
    </row>
    <row r="83" spans="1:9" x14ac:dyDescent="0.35">
      <c r="A83" s="129" t="s">
        <v>36</v>
      </c>
      <c r="B83" s="7"/>
      <c r="D83" s="127"/>
      <c r="E83" s="421"/>
      <c r="F83" s="421"/>
      <c r="G83" s="130"/>
      <c r="H83" s="259"/>
      <c r="I83" s="7"/>
    </row>
    <row r="84" spans="1:9" ht="26.5" x14ac:dyDescent="0.35">
      <c r="A84" s="7"/>
      <c r="B84" s="7"/>
      <c r="C84" s="117"/>
      <c r="D84" s="288" t="s">
        <v>37</v>
      </c>
      <c r="E84" s="288" t="s">
        <v>37</v>
      </c>
      <c r="G84" s="7"/>
      <c r="H84" s="259"/>
      <c r="I84" s="7"/>
    </row>
    <row r="85" spans="1:9" x14ac:dyDescent="0.35">
      <c r="A85" s="260" t="s">
        <v>33</v>
      </c>
      <c r="B85" s="260" t="s">
        <v>38</v>
      </c>
      <c r="C85" s="261" t="s">
        <v>39</v>
      </c>
      <c r="D85" s="286" t="s">
        <v>38</v>
      </c>
      <c r="E85" s="287" t="s">
        <v>39</v>
      </c>
      <c r="G85" s="7"/>
      <c r="H85" s="259"/>
      <c r="I85" s="7"/>
    </row>
    <row r="86" spans="1:9" x14ac:dyDescent="0.35">
      <c r="A86" s="136"/>
      <c r="B86" s="137"/>
      <c r="C86" s="138"/>
      <c r="D86" s="263"/>
      <c r="E86" s="264"/>
      <c r="G86" s="7"/>
      <c r="H86" s="259"/>
      <c r="I86" s="7"/>
    </row>
    <row r="87" spans="1:9" x14ac:dyDescent="0.35">
      <c r="A87" s="265" t="s">
        <v>40</v>
      </c>
      <c r="B87" s="266">
        <f>75376*1.0275</f>
        <v>77448.840000000011</v>
      </c>
      <c r="C87" s="266">
        <f>100499*1.0275</f>
        <v>103262.7225</v>
      </c>
      <c r="D87" s="263">
        <f>SUM(B87/52.143/37)</f>
        <v>40.143679724831564</v>
      </c>
      <c r="E87" s="263">
        <f>SUM(C87/52.143/37)</f>
        <v>53.523663615286651</v>
      </c>
      <c r="G87" s="267"/>
      <c r="H87" s="259"/>
    </row>
    <row r="88" spans="1:9" x14ac:dyDescent="0.35">
      <c r="A88" s="136"/>
      <c r="B88" s="266"/>
      <c r="C88" s="266"/>
      <c r="D88" s="263">
        <v>0</v>
      </c>
      <c r="E88" s="263">
        <v>0</v>
      </c>
      <c r="G88" s="267"/>
      <c r="H88" s="259"/>
    </row>
    <row r="89" spans="1:9" x14ac:dyDescent="0.35">
      <c r="A89" s="260" t="s">
        <v>41</v>
      </c>
      <c r="B89" s="266">
        <f>69097*1.0275</f>
        <v>70997.16750000001</v>
      </c>
      <c r="C89" s="266">
        <f>80399*1.0275</f>
        <v>82609.972500000003</v>
      </c>
      <c r="D89" s="263">
        <f>SUM(B89/52.143/37)</f>
        <v>36.799615765584356</v>
      </c>
      <c r="E89" s="263">
        <f>SUM(C89/52.143/37)</f>
        <v>42.818824376416003</v>
      </c>
      <c r="G89" s="269"/>
      <c r="H89" s="259"/>
    </row>
    <row r="90" spans="1:9" x14ac:dyDescent="0.35">
      <c r="A90" s="21"/>
      <c r="B90" s="266"/>
      <c r="C90" s="266"/>
      <c r="D90" s="263">
        <v>0</v>
      </c>
      <c r="E90" s="263">
        <v>0</v>
      </c>
      <c r="G90" s="270"/>
      <c r="H90" s="259"/>
    </row>
    <row r="91" spans="1:9" x14ac:dyDescent="0.35">
      <c r="A91" s="260" t="s">
        <v>42</v>
      </c>
      <c r="B91" s="266">
        <f>61650*1.0275</f>
        <v>63345.375000000007</v>
      </c>
      <c r="C91" s="266">
        <f>67493*1.0275</f>
        <v>69349.05750000001</v>
      </c>
      <c r="D91" s="263">
        <f>SUM(B91/52.143/37)</f>
        <v>32.833499456536103</v>
      </c>
      <c r="E91" s="263">
        <f>SUM(C91/52.143/37)</f>
        <v>35.945358942741152</v>
      </c>
      <c r="G91" s="269"/>
      <c r="H91" s="259"/>
    </row>
    <row r="92" spans="1:9" x14ac:dyDescent="0.35">
      <c r="A92" s="23"/>
      <c r="B92" s="266"/>
      <c r="C92" s="266"/>
      <c r="D92" s="263">
        <v>0</v>
      </c>
      <c r="E92" s="263">
        <v>0</v>
      </c>
      <c r="G92" s="271"/>
      <c r="H92" s="259"/>
    </row>
    <row r="93" spans="1:9" x14ac:dyDescent="0.35">
      <c r="A93" s="260" t="s">
        <v>43</v>
      </c>
      <c r="B93" s="266">
        <f>55104*1.0275</f>
        <v>56619.360000000008</v>
      </c>
      <c r="C93" s="266">
        <f>60169*1.0275</f>
        <v>61823.647500000006</v>
      </c>
      <c r="D93" s="263">
        <f>SUM(B93/52.143/37)</f>
        <v>29.347236886503904</v>
      </c>
      <c r="E93" s="263">
        <f>SUM(C93/52.143/37)</f>
        <v>32.044749858885986</v>
      </c>
      <c r="G93" s="269"/>
      <c r="H93" s="259"/>
    </row>
    <row r="94" spans="1:9" x14ac:dyDescent="0.35">
      <c r="A94" s="23"/>
      <c r="B94" s="266"/>
      <c r="C94" s="266"/>
      <c r="D94" s="263">
        <v>0</v>
      </c>
      <c r="E94" s="263">
        <v>0</v>
      </c>
      <c r="G94" s="259"/>
    </row>
    <row r="95" spans="1:9" x14ac:dyDescent="0.35">
      <c r="A95" s="260" t="s">
        <v>44</v>
      </c>
      <c r="B95" s="266">
        <f>48981*1.0275</f>
        <v>50327.977500000001</v>
      </c>
      <c r="C95" s="266">
        <f>53565*1.0275</f>
        <v>55038.037500000006</v>
      </c>
      <c r="D95" s="263">
        <f>SUM(B95/52.143/37)</f>
        <v>26.086255261647931</v>
      </c>
      <c r="E95" s="263">
        <f>SUM(C95/52.143/37)</f>
        <v>28.527597702990374</v>
      </c>
      <c r="G95" s="269"/>
      <c r="H95" s="259"/>
    </row>
    <row r="96" spans="1:9" x14ac:dyDescent="0.35">
      <c r="A96" s="23"/>
      <c r="B96" s="266"/>
      <c r="C96" s="266"/>
      <c r="D96" s="263">
        <v>0</v>
      </c>
      <c r="E96" s="263">
        <v>0</v>
      </c>
      <c r="G96" s="271"/>
      <c r="H96" s="259"/>
    </row>
    <row r="97" spans="1:9" x14ac:dyDescent="0.35">
      <c r="A97" s="260" t="s">
        <v>45</v>
      </c>
      <c r="B97" s="266">
        <f>44667*1.0275</f>
        <v>45895.342500000006</v>
      </c>
      <c r="C97" s="266">
        <f>48818*1.0275</f>
        <v>50160.495000000003</v>
      </c>
      <c r="D97" s="263">
        <f>SUM(B97/52.143/37)</f>
        <v>23.788709168290321</v>
      </c>
      <c r="E97" s="263">
        <f>SUM(C97/52.143/37)</f>
        <v>25.999444873790424</v>
      </c>
      <c r="G97" s="269"/>
      <c r="H97" s="259"/>
    </row>
    <row r="98" spans="1:9" x14ac:dyDescent="0.35">
      <c r="A98" s="23"/>
      <c r="B98" s="266"/>
      <c r="C98" s="266"/>
      <c r="D98" s="263">
        <v>0</v>
      </c>
      <c r="E98" s="263">
        <v>0</v>
      </c>
      <c r="G98" s="271"/>
      <c r="H98" s="259"/>
      <c r="I98" s="259"/>
    </row>
    <row r="99" spans="1:9" x14ac:dyDescent="0.35">
      <c r="A99" s="262" t="s">
        <v>46</v>
      </c>
      <c r="B99" s="272">
        <f>40763*1.0275</f>
        <v>41883.982500000006</v>
      </c>
      <c r="C99" s="273">
        <f>44523*1.0275</f>
        <v>45747.382500000007</v>
      </c>
      <c r="D99" s="263">
        <f>SUM(B99/52.143/37)</f>
        <v>21.709520492243009</v>
      </c>
      <c r="E99" s="263">
        <f>SUM(C99/52.143/37)</f>
        <v>23.712017782698414</v>
      </c>
      <c r="G99" s="269"/>
      <c r="H99" s="259"/>
      <c r="I99" s="259"/>
    </row>
    <row r="100" spans="1:9" x14ac:dyDescent="0.35">
      <c r="A100" s="7"/>
      <c r="B100" s="7"/>
      <c r="C100" s="10"/>
      <c r="D100" s="10"/>
      <c r="E100" s="16"/>
      <c r="F100" s="241"/>
      <c r="G100" s="10"/>
      <c r="H100" s="274"/>
      <c r="I100" s="7"/>
    </row>
  </sheetData>
  <mergeCells count="1">
    <mergeCell ref="E82:F8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D8203-CF13-4EA9-99D5-06584CE0594F}">
  <dimension ref="A1:L97"/>
  <sheetViews>
    <sheetView workbookViewId="0">
      <selection activeCell="D8" sqref="D8"/>
    </sheetView>
  </sheetViews>
  <sheetFormatPr defaultColWidth="9.1796875" defaultRowHeight="14.5" x14ac:dyDescent="0.35"/>
  <cols>
    <col min="1" max="1" width="31.54296875" style="26" customWidth="1"/>
    <col min="2" max="2" width="21" style="26" customWidth="1"/>
    <col min="3" max="3" width="11.453125" style="26" customWidth="1"/>
    <col min="4" max="4" width="11.26953125" style="26" customWidth="1"/>
    <col min="5" max="5" width="11" style="26" customWidth="1"/>
    <col min="6" max="6" width="11.7265625" style="26" customWidth="1"/>
    <col min="7" max="7" width="11.1796875" style="26" customWidth="1"/>
    <col min="8" max="8" width="8.81640625" style="26" customWidth="1"/>
    <col min="9" max="9" width="10.453125" style="26" bestFit="1" customWidth="1"/>
    <col min="10" max="10" width="9.1796875" style="26"/>
    <col min="11" max="11" width="9.1796875" style="143"/>
    <col min="12" max="16384" width="9.1796875" style="26"/>
  </cols>
  <sheetData>
    <row r="1" spans="1:12" s="392" customFormat="1" ht="18" x14ac:dyDescent="0.4">
      <c r="A1" s="384"/>
      <c r="B1" s="385"/>
      <c r="C1" s="386"/>
      <c r="D1" s="387" t="s">
        <v>71</v>
      </c>
      <c r="E1" s="388"/>
      <c r="F1" s="384"/>
      <c r="G1" s="389" t="s">
        <v>73</v>
      </c>
      <c r="H1" s="390"/>
      <c r="I1" s="391"/>
      <c r="K1" s="393"/>
    </row>
    <row r="2" spans="1:12" x14ac:dyDescent="0.35">
      <c r="A2" s="1"/>
      <c r="B2" s="1"/>
      <c r="C2" s="6"/>
      <c r="D2" s="1"/>
      <c r="E2" s="27"/>
      <c r="F2" s="1"/>
      <c r="G2" s="1"/>
      <c r="H2" s="1"/>
      <c r="I2" s="28"/>
    </row>
    <row r="3" spans="1:12" ht="15" thickBot="1" x14ac:dyDescent="0.4">
      <c r="A3" s="1"/>
      <c r="B3" s="1"/>
      <c r="C3" s="6"/>
      <c r="D3" s="30"/>
      <c r="E3" s="31"/>
      <c r="F3" s="1"/>
      <c r="G3" s="1"/>
      <c r="H3" s="2"/>
      <c r="I3" s="30"/>
    </row>
    <row r="4" spans="1:12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</row>
    <row r="5" spans="1:12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12" ht="15" thickBot="1" x14ac:dyDescent="0.4">
      <c r="A6" s="71"/>
      <c r="B6" s="341" t="s">
        <v>11</v>
      </c>
      <c r="C6" s="207"/>
      <c r="D6" s="207" t="s">
        <v>0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12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</row>
    <row r="8" spans="1:12" x14ac:dyDescent="0.35">
      <c r="A8" s="6"/>
      <c r="B8" s="361">
        <v>1</v>
      </c>
      <c r="C8" s="370">
        <v>18333</v>
      </c>
      <c r="D8" s="371">
        <f>ROUND((C8*1.075),0)</f>
        <v>19708</v>
      </c>
      <c r="E8" s="372">
        <f>D8/12</f>
        <v>1642.3333333333333</v>
      </c>
      <c r="F8" s="372">
        <f>SUM(D8/52.143)</f>
        <v>377.96060832710049</v>
      </c>
      <c r="G8" s="373">
        <f>SUM($D8/52.143)/37</f>
        <v>10.215151576408122</v>
      </c>
      <c r="H8" s="374">
        <f>SUM($D8/52.143)/37*1.1381</f>
        <v>11.625864009110082</v>
      </c>
      <c r="I8" s="311"/>
      <c r="L8" s="200"/>
    </row>
    <row r="9" spans="1:12" ht="15" thickBot="1" x14ac:dyDescent="0.4">
      <c r="A9" s="6"/>
      <c r="B9" s="362">
        <v>2</v>
      </c>
      <c r="C9" s="375">
        <v>18516</v>
      </c>
      <c r="D9" s="376">
        <f>D11</f>
        <v>19905</v>
      </c>
      <c r="E9" s="377">
        <f>E11</f>
        <v>1658.75</v>
      </c>
      <c r="F9" s="377">
        <f>F11</f>
        <v>381.73868016799952</v>
      </c>
      <c r="G9" s="378">
        <f>G11</f>
        <v>10.31726162616215</v>
      </c>
      <c r="H9" s="379">
        <f>H11</f>
        <v>11.742075456735142</v>
      </c>
      <c r="I9" s="311"/>
      <c r="L9" s="200"/>
    </row>
    <row r="10" spans="1:12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311"/>
      <c r="L10" s="200"/>
    </row>
    <row r="11" spans="1:12" x14ac:dyDescent="0.35">
      <c r="A11" s="6"/>
      <c r="B11" s="342">
        <v>2</v>
      </c>
      <c r="C11" s="180">
        <v>18516</v>
      </c>
      <c r="D11" s="180">
        <f>ROUND((C11*1.075),0)</f>
        <v>19905</v>
      </c>
      <c r="E11" s="157">
        <f>D11/12</f>
        <v>1658.75</v>
      </c>
      <c r="F11" s="158">
        <f>SUM(D11/52.143)</f>
        <v>381.73868016799952</v>
      </c>
      <c r="G11" s="170">
        <f>SUM($D11/52.143)/37</f>
        <v>10.31726162616215</v>
      </c>
      <c r="H11" s="328">
        <f>SUM($D11/52.143)/37*1.1381</f>
        <v>11.742075456735142</v>
      </c>
      <c r="I11" s="311"/>
      <c r="L11" s="200"/>
    </row>
    <row r="12" spans="1:12" ht="15" thickBot="1" x14ac:dyDescent="0.4">
      <c r="A12" s="6"/>
      <c r="B12" s="343">
        <v>3</v>
      </c>
      <c r="C12" s="223">
        <v>18887</v>
      </c>
      <c r="D12" s="223">
        <f>ROUND((C12*1.075),0)</f>
        <v>20304</v>
      </c>
      <c r="E12" s="151">
        <f>D12/12</f>
        <v>1692</v>
      </c>
      <c r="F12" s="152">
        <f>SUM(D12/52.143)</f>
        <v>389.39071399804385</v>
      </c>
      <c r="G12" s="163">
        <f>SUM($D12/52.143)/37</f>
        <v>10.524073351298483</v>
      </c>
      <c r="H12" s="322">
        <f>SUM($D12/52.143)/37*1.1381</f>
        <v>11.977447881112802</v>
      </c>
      <c r="I12" s="311"/>
      <c r="L12" s="200"/>
    </row>
    <row r="13" spans="1:12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311"/>
      <c r="L13" s="200"/>
    </row>
    <row r="14" spans="1:12" x14ac:dyDescent="0.35">
      <c r="A14" s="6"/>
      <c r="B14" s="342">
        <v>3</v>
      </c>
      <c r="C14" s="180">
        <f t="shared" ref="C14:H14" si="0">C12</f>
        <v>18887</v>
      </c>
      <c r="D14" s="183">
        <f t="shared" si="0"/>
        <v>20304</v>
      </c>
      <c r="E14" s="285">
        <f t="shared" si="0"/>
        <v>1692</v>
      </c>
      <c r="F14" s="285">
        <f t="shared" si="0"/>
        <v>389.39071399804385</v>
      </c>
      <c r="G14" s="284">
        <f t="shared" si="0"/>
        <v>10.524073351298483</v>
      </c>
      <c r="H14" s="331">
        <f t="shared" si="0"/>
        <v>11.977447881112802</v>
      </c>
      <c r="I14" s="311"/>
      <c r="L14" s="200"/>
    </row>
    <row r="15" spans="1:12" ht="15" thickBot="1" x14ac:dyDescent="0.4">
      <c r="A15" s="6"/>
      <c r="B15" s="344">
        <v>4</v>
      </c>
      <c r="C15" s="182">
        <v>19264</v>
      </c>
      <c r="D15" s="178">
        <f>ROUND((C15*1.075),0)</f>
        <v>20709</v>
      </c>
      <c r="E15" s="159">
        <f>D15/12</f>
        <v>1725.75</v>
      </c>
      <c r="F15" s="160">
        <f>SUM(D15/52.143)</f>
        <v>397.15781600598353</v>
      </c>
      <c r="G15" s="172">
        <f>SUM($D15/52.143)/37</f>
        <v>10.733995027188744</v>
      </c>
      <c r="H15" s="333">
        <f>SUM($D15/52.143)/37*1.1381</f>
        <v>12.216359740443508</v>
      </c>
      <c r="I15" s="311"/>
      <c r="L15" s="200"/>
    </row>
    <row r="16" spans="1:12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311"/>
      <c r="L16" s="200"/>
    </row>
    <row r="17" spans="1:12" x14ac:dyDescent="0.35">
      <c r="A17" s="6"/>
      <c r="B17" s="342">
        <v>5</v>
      </c>
      <c r="C17" s="223">
        <v>19650</v>
      </c>
      <c r="D17" s="223">
        <f>ROUND((C17*1.075),0)</f>
        <v>21124</v>
      </c>
      <c r="E17" s="151">
        <f>D17/12</f>
        <v>1760.3333333333333</v>
      </c>
      <c r="F17" s="152">
        <f>SUM(D17/52.143)</f>
        <v>405.11669831041559</v>
      </c>
      <c r="G17" s="163">
        <f>SUM($D17/52.143)/37</f>
        <v>10.949099954335557</v>
      </c>
      <c r="H17" s="322">
        <f>SUM($D17/52.143)/37*1.1381</f>
        <v>12.461170658029296</v>
      </c>
      <c r="I17" s="311"/>
      <c r="L17" s="200"/>
    </row>
    <row r="18" spans="1:12" ht="15" thickBot="1" x14ac:dyDescent="0.4">
      <c r="A18" s="6"/>
      <c r="B18" s="344">
        <v>6</v>
      </c>
      <c r="C18" s="182">
        <v>20043</v>
      </c>
      <c r="D18" s="178">
        <f>ROUND((C18*1.075),0)</f>
        <v>21546</v>
      </c>
      <c r="E18" s="159">
        <f>D18/12</f>
        <v>1795.5</v>
      </c>
      <c r="F18" s="160">
        <f>SUM(D18/52.143)</f>
        <v>413.20982682239224</v>
      </c>
      <c r="G18" s="172">
        <f>SUM($D18/52.143)/37</f>
        <v>11.167833157361953</v>
      </c>
      <c r="H18" s="333">
        <f>SUM($D18/52.143)/37*1.1381</f>
        <v>12.710110916393637</v>
      </c>
      <c r="I18" s="311"/>
      <c r="L18" s="200"/>
    </row>
    <row r="19" spans="1:12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311"/>
      <c r="L19" s="200"/>
    </row>
    <row r="20" spans="1:12" x14ac:dyDescent="0.35">
      <c r="A20" s="6"/>
      <c r="B20" s="342">
        <v>7</v>
      </c>
      <c r="C20" s="180">
        <v>20444</v>
      </c>
      <c r="D20" s="180">
        <f>ROUND((C20*1.075),0)</f>
        <v>21977</v>
      </c>
      <c r="E20" s="157">
        <f>D20/12</f>
        <v>1831.4166666666667</v>
      </c>
      <c r="F20" s="158">
        <f>SUM(D20/52.143)</f>
        <v>421.47555760121207</v>
      </c>
      <c r="G20" s="170">
        <f>SUM($D20/52.143)/37</f>
        <v>11.391231286519245</v>
      </c>
      <c r="H20" s="328">
        <f>SUM($D20/52.143)/37*1.1381</f>
        <v>12.964360327187551</v>
      </c>
      <c r="I20" s="311"/>
      <c r="L20" s="200"/>
    </row>
    <row r="21" spans="1:12" x14ac:dyDescent="0.35">
      <c r="A21" s="6"/>
      <c r="B21" s="342">
        <v>8</v>
      </c>
      <c r="C21" s="175">
        <v>20852</v>
      </c>
      <c r="D21" s="175">
        <f>ROUND((C21*1.075),0)</f>
        <v>22416</v>
      </c>
      <c r="E21" s="149">
        <f>D21/12</f>
        <v>1868</v>
      </c>
      <c r="F21" s="150">
        <f>SUM(D21/52.143)</f>
        <v>429.89471261722571</v>
      </c>
      <c r="G21" s="161">
        <f>SUM($D21/52.143)/37</f>
        <v>11.618776016681776</v>
      </c>
      <c r="H21" s="329">
        <f>SUM($D21/52.143)/37*1.1381</f>
        <v>13.223328984585528</v>
      </c>
      <c r="I21" s="311"/>
      <c r="L21" s="200"/>
    </row>
    <row r="22" spans="1:12" x14ac:dyDescent="0.35">
      <c r="A22" s="6"/>
      <c r="B22" s="342">
        <v>9</v>
      </c>
      <c r="C22" s="175">
        <v>21269</v>
      </c>
      <c r="D22" s="175">
        <f>ROUND((C22*1.075),0)</f>
        <v>22864</v>
      </c>
      <c r="E22" s="149">
        <f>D22/12</f>
        <v>1905.3333333333333</v>
      </c>
      <c r="F22" s="150">
        <f>SUM(D22/52.143)</f>
        <v>438.48646990008245</v>
      </c>
      <c r="G22" s="161">
        <f>SUM($D22/52.143)/37</f>
        <v>11.850985672975202</v>
      </c>
      <c r="H22" s="329">
        <f>SUM($D22/52.143)/37*1.1381</f>
        <v>13.487606794413077</v>
      </c>
      <c r="I22" s="311"/>
      <c r="L22" s="200"/>
    </row>
    <row r="23" spans="1:12" x14ac:dyDescent="0.35">
      <c r="A23" s="6"/>
      <c r="B23" s="345">
        <v>10</v>
      </c>
      <c r="C23" s="223">
        <v>21695</v>
      </c>
      <c r="D23" s="223">
        <f>ROUND((C23*1.075),0)</f>
        <v>23322</v>
      </c>
      <c r="E23" s="151">
        <f>D23/12</f>
        <v>1943.5</v>
      </c>
      <c r="F23" s="152">
        <f>SUM(D23/52.143)</f>
        <v>447.27000747943157</v>
      </c>
      <c r="G23" s="163">
        <f>SUM($D23/52.143)/37</f>
        <v>12.088378580525177</v>
      </c>
      <c r="H23" s="322">
        <f>SUM($D23/52.143)/37*1.1381</f>
        <v>13.757783662495703</v>
      </c>
      <c r="I23" s="311"/>
      <c r="L23" s="200"/>
    </row>
    <row r="24" spans="1:12" ht="15" thickBot="1" x14ac:dyDescent="0.4">
      <c r="A24" s="6"/>
      <c r="B24" s="344">
        <v>11</v>
      </c>
      <c r="C24" s="182">
        <v>22129</v>
      </c>
      <c r="D24" s="178">
        <f>ROUND((C24*1.075),0)</f>
        <v>23789</v>
      </c>
      <c r="E24" s="159">
        <f>D24/12</f>
        <v>1982.4166666666667</v>
      </c>
      <c r="F24" s="160">
        <f>SUM(D24/52.143)</f>
        <v>456.22614732562374</v>
      </c>
      <c r="G24" s="172">
        <f>SUM($D24/52.143)/37</f>
        <v>12.330436414206048</v>
      </c>
      <c r="H24" s="333">
        <f>SUM($D24/52.143)/37*1.1381</f>
        <v>14.033269683007902</v>
      </c>
      <c r="I24" s="311"/>
      <c r="L24" s="200"/>
    </row>
    <row r="25" spans="1:12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311"/>
      <c r="L25" s="200"/>
    </row>
    <row r="26" spans="1:12" x14ac:dyDescent="0.35">
      <c r="A26" s="6"/>
      <c r="B26" s="342">
        <v>12</v>
      </c>
      <c r="C26" s="180">
        <v>22571</v>
      </c>
      <c r="D26" s="180">
        <f t="shared" ref="D26:D31" si="1">ROUND((C26*1.075),0)</f>
        <v>24264</v>
      </c>
      <c r="E26" s="157">
        <f t="shared" ref="E26:E31" si="2">D26/12</f>
        <v>2022</v>
      </c>
      <c r="F26" s="158">
        <f t="shared" ref="F26:F31" si="3">SUM(D26/52.143)</f>
        <v>465.33571140900983</v>
      </c>
      <c r="G26" s="170">
        <f t="shared" ref="G26:G31" si="4">SUM($D26/52.143)/37</f>
        <v>12.576640848892158</v>
      </c>
      <c r="H26" s="328">
        <f t="shared" ref="H26:H31" si="5">SUM($D26/52.143)/37*1.1381</f>
        <v>14.313474950124164</v>
      </c>
      <c r="I26" s="311"/>
      <c r="L26" s="200"/>
    </row>
    <row r="27" spans="1:12" x14ac:dyDescent="0.35">
      <c r="A27" s="6"/>
      <c r="B27" s="342">
        <v>13</v>
      </c>
      <c r="C27" s="175">
        <v>23023</v>
      </c>
      <c r="D27" s="175">
        <f t="shared" si="1"/>
        <v>24750</v>
      </c>
      <c r="E27" s="149">
        <f t="shared" si="2"/>
        <v>2062.5</v>
      </c>
      <c r="F27" s="150">
        <f t="shared" si="3"/>
        <v>474.65623381853749</v>
      </c>
      <c r="G27" s="161">
        <f t="shared" si="4"/>
        <v>12.828546859960472</v>
      </c>
      <c r="H27" s="329">
        <f t="shared" si="5"/>
        <v>14.600169181321011</v>
      </c>
      <c r="I27" s="311"/>
      <c r="L27" s="200"/>
    </row>
    <row r="28" spans="1:12" x14ac:dyDescent="0.35">
      <c r="A28" s="6"/>
      <c r="B28" s="342">
        <v>14</v>
      </c>
      <c r="C28" s="175">
        <v>23484</v>
      </c>
      <c r="D28" s="175">
        <f t="shared" si="1"/>
        <v>25245</v>
      </c>
      <c r="E28" s="149">
        <f t="shared" si="2"/>
        <v>2103.75</v>
      </c>
      <c r="F28" s="150">
        <f t="shared" si="3"/>
        <v>484.1493584949082</v>
      </c>
      <c r="G28" s="161">
        <f t="shared" si="4"/>
        <v>13.085117797159681</v>
      </c>
      <c r="H28" s="329">
        <f t="shared" si="5"/>
        <v>14.892172564947431</v>
      </c>
      <c r="I28" s="311"/>
      <c r="L28" s="200"/>
    </row>
    <row r="29" spans="1:12" x14ac:dyDescent="0.35">
      <c r="A29" s="6"/>
      <c r="B29" s="342">
        <v>15</v>
      </c>
      <c r="C29" s="175">
        <v>23953</v>
      </c>
      <c r="D29" s="175">
        <f t="shared" si="1"/>
        <v>25749</v>
      </c>
      <c r="E29" s="149">
        <f t="shared" si="2"/>
        <v>2145.75</v>
      </c>
      <c r="F29" s="150">
        <f t="shared" si="3"/>
        <v>493.81508543812208</v>
      </c>
      <c r="G29" s="161">
        <f t="shared" si="4"/>
        <v>13.346353660489786</v>
      </c>
      <c r="H29" s="329">
        <f t="shared" si="5"/>
        <v>15.189485101003424</v>
      </c>
      <c r="I29" s="311"/>
      <c r="L29" s="200"/>
    </row>
    <row r="30" spans="1:12" x14ac:dyDescent="0.35">
      <c r="A30" s="6"/>
      <c r="B30" s="342">
        <v>16</v>
      </c>
      <c r="C30" s="223">
        <v>24432</v>
      </c>
      <c r="D30" s="223">
        <f t="shared" si="1"/>
        <v>26264</v>
      </c>
      <c r="E30" s="151">
        <f t="shared" si="2"/>
        <v>2188.6666666666665</v>
      </c>
      <c r="F30" s="152">
        <f t="shared" si="3"/>
        <v>503.69177070747753</v>
      </c>
      <c r="G30" s="163">
        <f t="shared" si="4"/>
        <v>13.613291100202096</v>
      </c>
      <c r="H30" s="322">
        <f t="shared" si="5"/>
        <v>15.493286601140003</v>
      </c>
      <c r="I30" s="311"/>
      <c r="L30" s="200"/>
    </row>
    <row r="31" spans="1:12" ht="15" thickBot="1" x14ac:dyDescent="0.4">
      <c r="A31" s="6"/>
      <c r="B31" s="345">
        <v>17</v>
      </c>
      <c r="C31" s="182">
        <v>24920</v>
      </c>
      <c r="D31" s="182">
        <f t="shared" si="1"/>
        <v>26789</v>
      </c>
      <c r="E31" s="159">
        <f t="shared" si="2"/>
        <v>2232.4166666666665</v>
      </c>
      <c r="F31" s="160">
        <f t="shared" si="3"/>
        <v>513.76023627332529</v>
      </c>
      <c r="G31" s="172">
        <f t="shared" si="4"/>
        <v>13.885411791170954</v>
      </c>
      <c r="H31" s="333">
        <f t="shared" si="5"/>
        <v>15.802987159531661</v>
      </c>
      <c r="I31" s="311"/>
      <c r="L31" s="200"/>
    </row>
    <row r="32" spans="1:12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311"/>
      <c r="L32" s="200"/>
    </row>
    <row r="33" spans="1:12" s="1" customFormat="1" ht="15.75" customHeight="1" x14ac:dyDescent="0.35">
      <c r="B33" s="346">
        <v>18</v>
      </c>
      <c r="C33" s="339">
        <v>25419</v>
      </c>
      <c r="D33" s="296">
        <f>ROUND((C33*1.075),0)</f>
        <v>27325</v>
      </c>
      <c r="E33" s="297">
        <f>D33/12</f>
        <v>2277.0833333333335</v>
      </c>
      <c r="F33" s="297">
        <f>SUM(D33/52.143)</f>
        <v>524.03966016531456</v>
      </c>
      <c r="G33" s="298">
        <f>SUM($D33/52.143)/37</f>
        <v>14.163234058522015</v>
      </c>
      <c r="H33" s="336">
        <f>SUM($D33/52.143)/37*1.1381</f>
        <v>16.119176682003904</v>
      </c>
      <c r="I33" s="311"/>
      <c r="K33" s="380"/>
      <c r="L33" s="200"/>
    </row>
    <row r="34" spans="1:12" x14ac:dyDescent="0.35">
      <c r="A34" s="6"/>
      <c r="B34" s="342">
        <v>19</v>
      </c>
      <c r="C34" s="180">
        <v>25927</v>
      </c>
      <c r="D34" s="180">
        <f>ROUND((C34*1.075),0)</f>
        <v>27872</v>
      </c>
      <c r="E34" s="157">
        <f>D34/12</f>
        <v>2322.6666666666665</v>
      </c>
      <c r="F34" s="158">
        <f>SUM(D34/52.143)</f>
        <v>534.53004238344556</v>
      </c>
      <c r="G34" s="170">
        <f>SUM($D34/52.143)/37</f>
        <v>14.446757902255285</v>
      </c>
      <c r="H34" s="328">
        <f>SUM($D34/52.143)/37*1.1381</f>
        <v>16.441855168556739</v>
      </c>
      <c r="I34" s="311"/>
      <c r="L34" s="200"/>
    </row>
    <row r="35" spans="1:12" x14ac:dyDescent="0.35">
      <c r="A35" s="6"/>
      <c r="B35" s="342">
        <v>20</v>
      </c>
      <c r="C35" s="175">
        <v>26446</v>
      </c>
      <c r="D35" s="175">
        <f>ROUND((C35*1.075),0)</f>
        <v>28429</v>
      </c>
      <c r="E35" s="149">
        <f>D35/12</f>
        <v>2369.0833333333335</v>
      </c>
      <c r="F35" s="150">
        <f>SUM(D35/52.143)</f>
        <v>545.21220489806876</v>
      </c>
      <c r="G35" s="161">
        <f>SUM($D35/52.143)/37</f>
        <v>14.735464997245101</v>
      </c>
      <c r="H35" s="329">
        <f>SUM($D35/52.143)/37*1.1381</f>
        <v>16.770432713364649</v>
      </c>
      <c r="I35" s="311"/>
      <c r="L35" s="200"/>
    </row>
    <row r="36" spans="1:12" x14ac:dyDescent="0.35">
      <c r="A36" s="6"/>
      <c r="B36" s="345">
        <v>21</v>
      </c>
      <c r="C36" s="223">
        <v>26975</v>
      </c>
      <c r="D36" s="223">
        <f>ROUND((C36*1.075),0)</f>
        <v>28998</v>
      </c>
      <c r="E36" s="151">
        <f>D36/12</f>
        <v>2416.5</v>
      </c>
      <c r="F36" s="152">
        <f>SUM(D36/52.143)</f>
        <v>556.12450376848278</v>
      </c>
      <c r="G36" s="163">
        <f>SUM($D36/52.143)/37</f>
        <v>15.030391993742779</v>
      </c>
      <c r="H36" s="322">
        <f>SUM($D36/52.143)/37*1.1381</f>
        <v>17.106089128078654</v>
      </c>
      <c r="I36" s="311"/>
      <c r="L36" s="200"/>
    </row>
    <row r="37" spans="1:12" ht="15" thickBot="1" x14ac:dyDescent="0.4">
      <c r="A37" s="6"/>
      <c r="B37" s="344">
        <v>22</v>
      </c>
      <c r="C37" s="182">
        <v>27514</v>
      </c>
      <c r="D37" s="182">
        <f>ROUND((C37*1.075),0)</f>
        <v>29578</v>
      </c>
      <c r="E37" s="159">
        <f>D37/12</f>
        <v>2464.8333333333335</v>
      </c>
      <c r="F37" s="160">
        <f>SUM(D37/52.143)</f>
        <v>567.24776096503842</v>
      </c>
      <c r="G37" s="172">
        <f>SUM($D37/52.143)/37</f>
        <v>15.33102056662266</v>
      </c>
      <c r="H37" s="333">
        <f>SUM($D37/52.143)/37*1.1381</f>
        <v>17.448234506873249</v>
      </c>
      <c r="I37" s="311"/>
      <c r="L37" s="200"/>
    </row>
    <row r="38" spans="1:12" ht="15" thickBot="1" x14ac:dyDescent="0.4">
      <c r="A38" s="6"/>
      <c r="B38" s="345"/>
      <c r="C38" s="64"/>
      <c r="D38" s="64"/>
      <c r="E38" s="65"/>
      <c r="F38" s="65"/>
      <c r="G38" s="65"/>
      <c r="H38" s="66"/>
      <c r="I38" s="311"/>
      <c r="L38" s="200"/>
    </row>
    <row r="39" spans="1:12" x14ac:dyDescent="0.35">
      <c r="B39" s="360" t="s">
        <v>22</v>
      </c>
      <c r="C39" s="347"/>
      <c r="D39" s="348" t="s">
        <v>20</v>
      </c>
      <c r="E39" s="349" t="s">
        <v>49</v>
      </c>
      <c r="F39" s="350"/>
      <c r="G39" s="351" t="s">
        <v>21</v>
      </c>
      <c r="H39" s="352" t="s">
        <v>48</v>
      </c>
      <c r="I39" s="311"/>
      <c r="L39" s="200"/>
    </row>
    <row r="40" spans="1:12" ht="15" thickBot="1" x14ac:dyDescent="0.4">
      <c r="A40" s="1"/>
      <c r="B40" s="394">
        <v>8</v>
      </c>
      <c r="C40" s="395">
        <v>20852</v>
      </c>
      <c r="D40" s="354">
        <v>637</v>
      </c>
      <c r="E40" s="355">
        <f>C40+D40</f>
        <v>21489</v>
      </c>
      <c r="F40" s="356"/>
      <c r="G40" s="357">
        <f>SUM(C40+D40)/37/52.143</f>
        <v>11.138288625199619</v>
      </c>
      <c r="H40" s="358">
        <f>E40/52.143/37*1.1381</f>
        <v>12.676486284339685</v>
      </c>
      <c r="I40" s="311"/>
      <c r="J40" s="311"/>
      <c r="K40" s="311"/>
      <c r="L40" s="311"/>
    </row>
    <row r="41" spans="1:12" x14ac:dyDescent="0.35">
      <c r="A41" s="1"/>
      <c r="B41" s="1"/>
      <c r="C41" s="5"/>
      <c r="D41" s="1"/>
      <c r="E41" s="1"/>
      <c r="F41" s="1"/>
      <c r="G41" s="1"/>
      <c r="H41" s="4"/>
      <c r="I41" s="1"/>
    </row>
    <row r="42" spans="1:12" x14ac:dyDescent="0.35">
      <c r="A42" s="70" t="s">
        <v>47</v>
      </c>
      <c r="B42" s="70"/>
      <c r="C42" s="71"/>
      <c r="D42" s="72"/>
      <c r="E42" s="73"/>
      <c r="F42" s="74"/>
      <c r="G42" s="74"/>
      <c r="H42" s="75"/>
      <c r="I42" s="2"/>
    </row>
    <row r="43" spans="1:12" x14ac:dyDescent="0.35">
      <c r="A43" s="76"/>
      <c r="B43" s="76"/>
      <c r="C43" s="71"/>
      <c r="D43" s="74"/>
      <c r="E43" s="73"/>
      <c r="F43" s="74"/>
      <c r="G43" s="74"/>
      <c r="H43" s="75"/>
      <c r="I43" s="1"/>
    </row>
    <row r="44" spans="1:12" x14ac:dyDescent="0.35">
      <c r="A44" s="77" t="s">
        <v>60</v>
      </c>
      <c r="C44" s="6"/>
      <c r="D44" s="75"/>
      <c r="E44" s="29"/>
      <c r="F44" s="75"/>
      <c r="G44" s="75"/>
      <c r="H44" s="75"/>
      <c r="I44" s="1"/>
    </row>
    <row r="45" spans="1:12" x14ac:dyDescent="0.35">
      <c r="A45" s="1"/>
      <c r="B45" s="1"/>
      <c r="C45" s="6"/>
      <c r="D45" s="75"/>
      <c r="E45" s="78"/>
      <c r="F45" s="29"/>
      <c r="G45" s="29"/>
      <c r="H45" s="29"/>
      <c r="I45" s="1"/>
    </row>
    <row r="46" spans="1:12" x14ac:dyDescent="0.35">
      <c r="A46" s="224" t="s">
        <v>24</v>
      </c>
      <c r="B46" s="235" t="s">
        <v>25</v>
      </c>
      <c r="C46" s="236"/>
      <c r="D46" s="237" t="s">
        <v>26</v>
      </c>
      <c r="F46" s="29"/>
      <c r="G46" s="29"/>
      <c r="H46" s="29"/>
      <c r="I46" s="1"/>
    </row>
    <row r="47" spans="1:12" x14ac:dyDescent="0.35">
      <c r="A47" s="221"/>
      <c r="B47" s="238"/>
      <c r="C47" s="239"/>
      <c r="D47" s="240" t="s">
        <v>27</v>
      </c>
      <c r="F47" s="29"/>
      <c r="G47" s="29"/>
      <c r="H47" s="29"/>
      <c r="I47" s="1"/>
    </row>
    <row r="48" spans="1:12" x14ac:dyDescent="0.35">
      <c r="A48" s="1"/>
      <c r="B48" s="6"/>
      <c r="C48" s="75"/>
      <c r="D48" s="87"/>
      <c r="F48" s="29"/>
      <c r="G48" s="29"/>
      <c r="H48" s="29"/>
      <c r="I48" s="1"/>
    </row>
    <row r="49" spans="1:12" x14ac:dyDescent="0.35">
      <c r="A49" s="214" t="s">
        <v>28</v>
      </c>
      <c r="B49" s="89" t="s">
        <v>29</v>
      </c>
      <c r="C49" s="90">
        <v>10000</v>
      </c>
      <c r="D49" s="91">
        <v>45</v>
      </c>
      <c r="F49" s="29"/>
      <c r="G49" s="29"/>
      <c r="H49" s="29"/>
      <c r="I49" s="1"/>
    </row>
    <row r="50" spans="1:12" x14ac:dyDescent="0.35">
      <c r="A50" s="1"/>
      <c r="B50" s="92" t="s">
        <v>30</v>
      </c>
      <c r="C50" s="90">
        <v>10000</v>
      </c>
      <c r="D50" s="93">
        <v>25</v>
      </c>
      <c r="F50" s="29"/>
      <c r="G50" s="29"/>
      <c r="H50" s="29"/>
      <c r="I50" s="1"/>
    </row>
    <row r="51" spans="1:12" x14ac:dyDescent="0.35">
      <c r="A51" s="1"/>
      <c r="B51" s="1"/>
      <c r="C51" s="6"/>
      <c r="D51" s="1"/>
      <c r="E51" s="78"/>
      <c r="F51" s="29"/>
      <c r="G51" s="29"/>
      <c r="H51" s="29"/>
      <c r="I51" s="2"/>
    </row>
    <row r="52" spans="1:12" x14ac:dyDescent="0.35">
      <c r="A52" s="7"/>
      <c r="B52" s="7"/>
      <c r="C52" s="7"/>
      <c r="D52" s="10"/>
      <c r="E52" s="16"/>
      <c r="F52" s="241"/>
      <c r="G52" s="10"/>
      <c r="H52" s="242"/>
      <c r="I52" s="7"/>
    </row>
    <row r="53" spans="1:12" x14ac:dyDescent="0.35">
      <c r="A53" s="301" t="s">
        <v>31</v>
      </c>
      <c r="B53" s="116" t="s">
        <v>72</v>
      </c>
      <c r="C53" s="74"/>
      <c r="D53" s="300"/>
      <c r="E53" s="245"/>
      <c r="G53" s="7" t="s">
        <v>32</v>
      </c>
    </row>
    <row r="54" spans="1:12" x14ac:dyDescent="0.35">
      <c r="A54" s="1"/>
      <c r="B54" s="101"/>
      <c r="C54" s="75"/>
      <c r="D54" s="246"/>
      <c r="E54" s="245"/>
      <c r="F54" s="75"/>
      <c r="G54" s="247"/>
      <c r="H54" s="7"/>
    </row>
    <row r="55" spans="1:12" x14ac:dyDescent="0.35">
      <c r="A55" s="202" t="s">
        <v>33</v>
      </c>
      <c r="B55" s="203" t="s">
        <v>8</v>
      </c>
      <c r="C55" s="203" t="s">
        <v>4</v>
      </c>
      <c r="D55" s="203" t="s">
        <v>5</v>
      </c>
      <c r="E55" s="204" t="s">
        <v>6</v>
      </c>
      <c r="F55" s="205" t="s">
        <v>7</v>
      </c>
      <c r="G55" s="12"/>
    </row>
    <row r="56" spans="1:12" x14ac:dyDescent="0.35">
      <c r="A56" s="211"/>
      <c r="B56" s="212" t="s">
        <v>11</v>
      </c>
      <c r="C56" s="212" t="s">
        <v>9</v>
      </c>
      <c r="D56" s="302" t="s">
        <v>9</v>
      </c>
      <c r="E56" s="303" t="s">
        <v>9</v>
      </c>
      <c r="F56" s="304" t="s">
        <v>10</v>
      </c>
      <c r="G56" s="13" t="s">
        <v>34</v>
      </c>
      <c r="I56" s="397"/>
    </row>
    <row r="57" spans="1:12" x14ac:dyDescent="0.35">
      <c r="A57" s="1"/>
      <c r="B57" s="6"/>
      <c r="C57" s="14" t="s">
        <v>14</v>
      </c>
      <c r="D57" s="14" t="s">
        <v>14</v>
      </c>
      <c r="E57" s="14" t="s">
        <v>14</v>
      </c>
      <c r="F57" s="305" t="s">
        <v>14</v>
      </c>
      <c r="G57" s="306" t="s">
        <v>14</v>
      </c>
      <c r="I57" s="397"/>
    </row>
    <row r="58" spans="1:12" x14ac:dyDescent="0.35">
      <c r="A58" s="249">
        <v>8</v>
      </c>
      <c r="B58" s="109">
        <v>1</v>
      </c>
      <c r="C58" s="175">
        <v>31988</v>
      </c>
      <c r="D58" s="148">
        <f>C58/12</f>
        <v>2665.6666666666665</v>
      </c>
      <c r="E58" s="149">
        <f>SUM(C58/52.143)</f>
        <v>613.46681241969202</v>
      </c>
      <c r="F58" s="174">
        <f>SUM(C58/52.143)/37</f>
        <v>16.580184119451136</v>
      </c>
      <c r="G58" s="234">
        <f t="shared" ref="G58:G67" si="6">SUM(C58*113.81%)</f>
        <v>36405.542800000003</v>
      </c>
      <c r="I58" s="397"/>
      <c r="L58" s="200"/>
    </row>
    <row r="59" spans="1:12" x14ac:dyDescent="0.35">
      <c r="A59" s="110"/>
      <c r="B59" s="111">
        <v>2</v>
      </c>
      <c r="C59" s="175">
        <v>32850</v>
      </c>
      <c r="D59" s="148">
        <f t="shared" ref="D59:D66" si="7">C59/12</f>
        <v>2737.5</v>
      </c>
      <c r="E59" s="149">
        <f t="shared" ref="E59:E67" si="8">SUM(C59/52.143)</f>
        <v>629.99827397733156</v>
      </c>
      <c r="F59" s="174">
        <f t="shared" ref="F59:F67" si="9">SUM(C59/52.143)/37</f>
        <v>17.026980377765717</v>
      </c>
      <c r="G59" s="234">
        <f t="shared" si="6"/>
        <v>37386.585000000006</v>
      </c>
      <c r="I59" s="397"/>
      <c r="L59" s="200"/>
    </row>
    <row r="60" spans="1:12" x14ac:dyDescent="0.35">
      <c r="A60" s="110"/>
      <c r="B60" s="111">
        <v>3</v>
      </c>
      <c r="C60" s="175">
        <v>33705</v>
      </c>
      <c r="D60" s="148">
        <f t="shared" si="7"/>
        <v>2808.75</v>
      </c>
      <c r="E60" s="149">
        <f t="shared" si="8"/>
        <v>646.3954893274265</v>
      </c>
      <c r="F60" s="174">
        <f t="shared" si="9"/>
        <v>17.470148360200717</v>
      </c>
      <c r="G60" s="234">
        <f t="shared" si="6"/>
        <v>38359.660500000005</v>
      </c>
      <c r="I60" s="397"/>
      <c r="L60" s="200"/>
    </row>
    <row r="61" spans="1:12" x14ac:dyDescent="0.35">
      <c r="A61" s="110"/>
      <c r="B61" s="111">
        <v>4</v>
      </c>
      <c r="C61" s="175">
        <v>34703</v>
      </c>
      <c r="D61" s="148">
        <f t="shared" si="7"/>
        <v>2891.9166666666665</v>
      </c>
      <c r="E61" s="149">
        <f t="shared" si="8"/>
        <v>665.53516291736184</v>
      </c>
      <c r="F61" s="174">
        <f t="shared" si="9"/>
        <v>17.987436835604374</v>
      </c>
      <c r="G61" s="234">
        <f t="shared" si="6"/>
        <v>39495.484300000004</v>
      </c>
      <c r="I61" s="397"/>
      <c r="L61" s="200"/>
    </row>
    <row r="62" spans="1:12" x14ac:dyDescent="0.35">
      <c r="A62" s="110"/>
      <c r="B62" s="111">
        <v>5</v>
      </c>
      <c r="C62" s="175">
        <v>35705</v>
      </c>
      <c r="D62" s="148">
        <f t="shared" si="7"/>
        <v>2975.4166666666665</v>
      </c>
      <c r="E62" s="149">
        <f t="shared" si="8"/>
        <v>684.7515486258942</v>
      </c>
      <c r="F62" s="174">
        <f t="shared" si="9"/>
        <v>18.506798611510654</v>
      </c>
      <c r="G62" s="234">
        <f t="shared" si="6"/>
        <v>40635.860500000003</v>
      </c>
      <c r="I62" s="397"/>
      <c r="L62" s="200"/>
    </row>
    <row r="63" spans="1:12" x14ac:dyDescent="0.35">
      <c r="A63" s="249">
        <v>7</v>
      </c>
      <c r="B63" s="109">
        <v>1</v>
      </c>
      <c r="C63" s="175">
        <v>36417</v>
      </c>
      <c r="D63" s="148">
        <f t="shared" si="7"/>
        <v>3034.75</v>
      </c>
      <c r="E63" s="149">
        <f t="shared" si="8"/>
        <v>698.40630573614862</v>
      </c>
      <c r="F63" s="174">
        <f t="shared" si="9"/>
        <v>18.87584610097699</v>
      </c>
      <c r="G63" s="234">
        <f t="shared" si="6"/>
        <v>41446.187700000002</v>
      </c>
      <c r="I63" s="397"/>
      <c r="L63" s="200"/>
    </row>
    <row r="64" spans="1:12" x14ac:dyDescent="0.35">
      <c r="A64" s="110"/>
      <c r="B64" s="111">
        <v>2</v>
      </c>
      <c r="C64" s="175">
        <v>37418</v>
      </c>
      <c r="D64" s="148">
        <f t="shared" si="7"/>
        <v>3118.1666666666665</v>
      </c>
      <c r="E64" s="149">
        <f t="shared" si="8"/>
        <v>717.60351341503178</v>
      </c>
      <c r="F64" s="174">
        <f t="shared" si="9"/>
        <v>19.394689551757615</v>
      </c>
      <c r="G64" s="234">
        <f t="shared" si="6"/>
        <v>42585.425800000005</v>
      </c>
      <c r="I64" s="397"/>
      <c r="L64" s="200"/>
    </row>
    <row r="65" spans="1:12" x14ac:dyDescent="0.35">
      <c r="A65" s="110"/>
      <c r="B65" s="111">
        <v>3</v>
      </c>
      <c r="C65" s="175">
        <v>38418</v>
      </c>
      <c r="D65" s="148">
        <f t="shared" si="7"/>
        <v>3201.5</v>
      </c>
      <c r="E65" s="149">
        <f t="shared" si="8"/>
        <v>736.78154306426552</v>
      </c>
      <c r="F65" s="174">
        <f t="shared" si="9"/>
        <v>19.913014677412583</v>
      </c>
      <c r="G65" s="234">
        <f t="shared" si="6"/>
        <v>43723.525800000003</v>
      </c>
      <c r="I65" s="397"/>
      <c r="L65" s="200"/>
    </row>
    <row r="66" spans="1:12" x14ac:dyDescent="0.35">
      <c r="A66" s="110"/>
      <c r="B66" s="111">
        <v>4</v>
      </c>
      <c r="C66" s="175">
        <v>39417</v>
      </c>
      <c r="D66" s="148">
        <f t="shared" si="7"/>
        <v>3284.75</v>
      </c>
      <c r="E66" s="149">
        <f t="shared" si="8"/>
        <v>755.94039468385017</v>
      </c>
      <c r="F66" s="174">
        <f t="shared" si="9"/>
        <v>20.430821477941898</v>
      </c>
      <c r="G66" s="234">
        <f t="shared" si="6"/>
        <v>44860.487700000005</v>
      </c>
      <c r="I66" s="397"/>
      <c r="L66" s="200"/>
    </row>
    <row r="67" spans="1:12" x14ac:dyDescent="0.35">
      <c r="A67" s="110"/>
      <c r="B67" s="111">
        <v>5</v>
      </c>
      <c r="C67" s="175">
        <v>40382</v>
      </c>
      <c r="D67" s="148">
        <f>C67/12</f>
        <v>3365.1666666666665</v>
      </c>
      <c r="E67" s="149">
        <f t="shared" si="8"/>
        <v>774.44719329536088</v>
      </c>
      <c r="F67" s="174">
        <f t="shared" si="9"/>
        <v>20.931005224198941</v>
      </c>
      <c r="G67" s="234">
        <f t="shared" si="6"/>
        <v>45958.754200000003</v>
      </c>
      <c r="I67" s="397"/>
      <c r="L67" s="200"/>
    </row>
    <row r="68" spans="1:12" x14ac:dyDescent="0.35">
      <c r="A68" s="1"/>
      <c r="B68" s="6"/>
      <c r="C68" s="112"/>
      <c r="D68" s="58"/>
      <c r="E68" s="58"/>
      <c r="F68" s="66"/>
      <c r="G68" s="248"/>
      <c r="H68" s="7"/>
    </row>
    <row r="69" spans="1:12" x14ac:dyDescent="0.35">
      <c r="A69" s="1"/>
      <c r="B69" s="6"/>
      <c r="C69" s="67"/>
      <c r="D69" s="65"/>
      <c r="E69" s="65"/>
      <c r="F69" s="66"/>
      <c r="G69" s="248"/>
      <c r="H69" s="7"/>
    </row>
    <row r="70" spans="1:12" x14ac:dyDescent="0.35">
      <c r="A70" s="1"/>
      <c r="B70" s="6"/>
      <c r="C70" s="67"/>
      <c r="D70" s="65"/>
      <c r="E70" s="65"/>
      <c r="F70" s="66"/>
      <c r="G70" s="248"/>
      <c r="H70" s="7"/>
    </row>
    <row r="71" spans="1:12" x14ac:dyDescent="0.35">
      <c r="A71" s="1"/>
      <c r="B71" s="6"/>
      <c r="C71" s="67"/>
      <c r="D71" s="65"/>
      <c r="E71" s="65"/>
      <c r="F71" s="66"/>
      <c r="G71" s="248"/>
      <c r="H71" s="7"/>
    </row>
    <row r="72" spans="1:12" x14ac:dyDescent="0.35">
      <c r="A72" s="1"/>
      <c r="B72" s="6"/>
      <c r="C72" s="67"/>
      <c r="D72" s="65"/>
      <c r="E72" s="65"/>
      <c r="F72" s="66"/>
      <c r="G72" s="248"/>
      <c r="H72" s="7"/>
    </row>
    <row r="73" spans="1:12" x14ac:dyDescent="0.35">
      <c r="A73" s="1"/>
      <c r="B73" s="6"/>
      <c r="C73" s="67"/>
      <c r="D73" s="65"/>
      <c r="E73" s="65"/>
      <c r="F73" s="66"/>
      <c r="G73" s="248"/>
      <c r="H73" s="7"/>
    </row>
    <row r="74" spans="1:12" x14ac:dyDescent="0.35">
      <c r="A74" s="1"/>
      <c r="B74" s="6"/>
      <c r="C74" s="67"/>
      <c r="D74" s="65"/>
      <c r="E74" s="65"/>
      <c r="F74" s="66"/>
      <c r="G74" s="248"/>
      <c r="H74" s="7"/>
    </row>
    <row r="75" spans="1:12" x14ac:dyDescent="0.35">
      <c r="A75" s="1"/>
      <c r="B75" s="1"/>
      <c r="C75" s="6"/>
      <c r="D75" s="67"/>
      <c r="E75" s="65"/>
      <c r="F75" s="65"/>
      <c r="G75" s="66"/>
      <c r="H75" s="248"/>
      <c r="I75" s="7"/>
    </row>
    <row r="76" spans="1:12" x14ac:dyDescent="0.35">
      <c r="A76" s="253"/>
      <c r="B76" s="253"/>
      <c r="C76" s="6"/>
      <c r="D76" s="67"/>
      <c r="E76" s="254"/>
      <c r="F76" s="255"/>
      <c r="G76" s="66"/>
      <c r="H76" s="248"/>
      <c r="I76" s="7"/>
    </row>
    <row r="77" spans="1:12" x14ac:dyDescent="0.35">
      <c r="A77" s="7" t="s">
        <v>70</v>
      </c>
      <c r="B77" s="7"/>
      <c r="C77" s="116"/>
      <c r="D77" s="117"/>
      <c r="E77" s="16"/>
      <c r="F77" s="256"/>
      <c r="G77" s="257"/>
      <c r="H77" s="242"/>
      <c r="I77" s="7"/>
    </row>
    <row r="78" spans="1:12" x14ac:dyDescent="0.35">
      <c r="A78" s="125" t="s">
        <v>35</v>
      </c>
      <c r="B78" s="116" t="s">
        <v>72</v>
      </c>
      <c r="C78" s="126"/>
      <c r="D78" s="127"/>
      <c r="G78" s="258"/>
      <c r="H78" s="7"/>
      <c r="I78" s="16"/>
    </row>
    <row r="79" spans="1:12" x14ac:dyDescent="0.35">
      <c r="A79" s="125"/>
      <c r="B79" s="125"/>
      <c r="C79" s="126"/>
      <c r="D79" s="127"/>
      <c r="E79" s="421"/>
      <c r="F79" s="421"/>
      <c r="G79" s="128"/>
      <c r="H79" s="242"/>
      <c r="I79" s="7"/>
    </row>
    <row r="80" spans="1:12" x14ac:dyDescent="0.35">
      <c r="A80" s="129" t="s">
        <v>36</v>
      </c>
      <c r="B80" s="7"/>
      <c r="D80" s="127"/>
      <c r="E80" s="421"/>
      <c r="F80" s="421"/>
      <c r="G80" s="130"/>
      <c r="H80" s="259"/>
      <c r="I80" s="7"/>
    </row>
    <row r="81" spans="1:12" ht="26.5" x14ac:dyDescent="0.35">
      <c r="A81" s="7"/>
      <c r="B81" s="7"/>
      <c r="C81" s="117"/>
      <c r="D81" s="288" t="s">
        <v>37</v>
      </c>
      <c r="E81" s="288" t="s">
        <v>37</v>
      </c>
      <c r="G81" s="7"/>
      <c r="H81" s="259"/>
      <c r="I81" s="7"/>
    </row>
    <row r="82" spans="1:12" x14ac:dyDescent="0.35">
      <c r="A82" s="260" t="s">
        <v>33</v>
      </c>
      <c r="B82" s="260" t="s">
        <v>38</v>
      </c>
      <c r="C82" s="261" t="s">
        <v>39</v>
      </c>
      <c r="D82" s="286" t="s">
        <v>38</v>
      </c>
      <c r="E82" s="287" t="s">
        <v>39</v>
      </c>
      <c r="G82" s="7"/>
      <c r="H82" s="259"/>
      <c r="I82" s="7"/>
    </row>
    <row r="83" spans="1:12" x14ac:dyDescent="0.35">
      <c r="A83" s="136"/>
      <c r="B83" s="137"/>
      <c r="C83" s="138"/>
      <c r="D83" s="263"/>
      <c r="E83" s="264"/>
      <c r="G83" s="7"/>
      <c r="H83" s="259"/>
      <c r="I83" s="7"/>
    </row>
    <row r="84" spans="1:12" x14ac:dyDescent="0.35">
      <c r="A84" s="265" t="s">
        <v>40</v>
      </c>
      <c r="B84" s="266">
        <v>78804</v>
      </c>
      <c r="C84" s="266">
        <v>105070</v>
      </c>
      <c r="D84" s="263">
        <f>SUM(B84/52.143/37)</f>
        <v>40.84609320211414</v>
      </c>
      <c r="E84" s="263">
        <f>SUM(C84/52.143/37)</f>
        <v>54.460420952567553</v>
      </c>
      <c r="F84" s="381"/>
      <c r="G84" s="381"/>
      <c r="H84" s="259"/>
      <c r="I84" s="397"/>
      <c r="J84" s="397"/>
      <c r="L84" s="381"/>
    </row>
    <row r="85" spans="1:12" x14ac:dyDescent="0.35">
      <c r="A85" s="136"/>
      <c r="B85" s="266"/>
      <c r="C85" s="266"/>
      <c r="D85" s="263">
        <v>0</v>
      </c>
      <c r="E85" s="263">
        <v>0</v>
      </c>
      <c r="F85" s="381"/>
      <c r="G85" s="381"/>
      <c r="H85" s="259"/>
      <c r="I85" s="397"/>
      <c r="J85" s="397"/>
      <c r="L85" s="381"/>
    </row>
    <row r="86" spans="1:12" x14ac:dyDescent="0.35">
      <c r="A86" s="260" t="s">
        <v>41</v>
      </c>
      <c r="B86" s="266">
        <v>72240</v>
      </c>
      <c r="C86" s="266">
        <v>84056</v>
      </c>
      <c r="D86" s="263">
        <f>SUM(B86/52.143/37)</f>
        <v>37.443807077314929</v>
      </c>
      <c r="E86" s="263">
        <f>SUM(C86/52.143/37)</f>
        <v>43.568336762054038</v>
      </c>
      <c r="F86" s="381"/>
      <c r="G86" s="381"/>
      <c r="H86" s="259"/>
      <c r="I86" s="397"/>
      <c r="J86" s="397"/>
      <c r="L86" s="381"/>
    </row>
    <row r="87" spans="1:12" x14ac:dyDescent="0.35">
      <c r="A87" s="21"/>
      <c r="B87" s="266"/>
      <c r="C87" s="266"/>
      <c r="D87" s="263">
        <v>0</v>
      </c>
      <c r="E87" s="263">
        <v>0</v>
      </c>
      <c r="F87" s="381"/>
      <c r="G87" s="381"/>
      <c r="H87" s="259"/>
      <c r="I87" s="397"/>
      <c r="J87" s="397"/>
      <c r="L87" s="381"/>
    </row>
    <row r="88" spans="1:12" x14ac:dyDescent="0.35">
      <c r="A88" s="260" t="s">
        <v>42</v>
      </c>
      <c r="B88" s="266">
        <v>64454</v>
      </c>
      <c r="C88" s="266">
        <v>70563</v>
      </c>
      <c r="D88" s="263">
        <f>SUM(B88/52.143/37)</f>
        <v>33.40812764896534</v>
      </c>
      <c r="E88" s="263">
        <f>SUM(C88/52.143/37)</f>
        <v>36.574575841591546</v>
      </c>
      <c r="F88" s="381"/>
      <c r="G88" s="381"/>
      <c r="H88" s="259"/>
      <c r="I88" s="397"/>
      <c r="J88" s="397"/>
      <c r="L88" s="381"/>
    </row>
    <row r="89" spans="1:12" x14ac:dyDescent="0.35">
      <c r="A89" s="23"/>
      <c r="B89" s="266"/>
      <c r="C89" s="266"/>
      <c r="D89" s="263">
        <v>0</v>
      </c>
      <c r="E89" s="263">
        <v>0</v>
      </c>
      <c r="F89" s="381"/>
      <c r="G89" s="381"/>
      <c r="H89" s="259"/>
      <c r="I89" s="397"/>
      <c r="J89" s="397"/>
      <c r="L89" s="381"/>
    </row>
    <row r="90" spans="1:12" x14ac:dyDescent="0.35">
      <c r="A90" s="260" t="s">
        <v>43</v>
      </c>
      <c r="B90" s="266">
        <v>57610</v>
      </c>
      <c r="C90" s="266">
        <v>62906</v>
      </c>
      <c r="D90" s="263">
        <f>SUM(B90/52.143/37)</f>
        <v>29.86071048898274</v>
      </c>
      <c r="E90" s="263">
        <f>SUM(C90/52.143/37)</f>
        <v>32.605760354451448</v>
      </c>
      <c r="F90" s="381"/>
      <c r="G90" s="381"/>
      <c r="H90" s="259"/>
      <c r="I90" s="397"/>
      <c r="J90" s="397"/>
      <c r="L90" s="381"/>
    </row>
    <row r="91" spans="1:12" x14ac:dyDescent="0.35">
      <c r="A91" s="23"/>
      <c r="B91" s="266"/>
      <c r="C91" s="266"/>
      <c r="D91" s="263">
        <v>0</v>
      </c>
      <c r="E91" s="263">
        <v>0</v>
      </c>
      <c r="F91" s="381"/>
      <c r="G91" s="381"/>
      <c r="I91" s="397"/>
      <c r="J91" s="397"/>
      <c r="L91" s="381"/>
    </row>
    <row r="92" spans="1:12" x14ac:dyDescent="0.35">
      <c r="A92" s="260" t="s">
        <v>44</v>
      </c>
      <c r="B92" s="266">
        <v>51209</v>
      </c>
      <c r="C92" s="266">
        <v>56001</v>
      </c>
      <c r="D92" s="263">
        <f>SUM(B92/52.143/37)</f>
        <v>26.542911359665286</v>
      </c>
      <c r="E92" s="263">
        <f>SUM(C92/52.143/37)</f>
        <v>29.026725361803898</v>
      </c>
      <c r="F92" s="381"/>
      <c r="G92" s="381"/>
      <c r="H92" s="259"/>
      <c r="I92" s="397"/>
      <c r="J92" s="397"/>
      <c r="L92" s="381"/>
    </row>
    <row r="93" spans="1:12" x14ac:dyDescent="0.35">
      <c r="A93" s="23"/>
      <c r="B93" s="266"/>
      <c r="C93" s="266"/>
      <c r="D93" s="263">
        <v>0</v>
      </c>
      <c r="E93" s="263">
        <v>0</v>
      </c>
      <c r="F93" s="381"/>
      <c r="G93" s="381"/>
      <c r="H93" s="259"/>
      <c r="I93" s="397"/>
      <c r="J93" s="397"/>
      <c r="L93" s="381"/>
    </row>
    <row r="94" spans="1:12" x14ac:dyDescent="0.35">
      <c r="A94" s="260" t="s">
        <v>45</v>
      </c>
      <c r="B94" s="266">
        <v>46699</v>
      </c>
      <c r="C94" s="266">
        <v>51038</v>
      </c>
      <c r="D94" s="263">
        <f>SUM(B94/52.143/37)</f>
        <v>24.205265042961379</v>
      </c>
      <c r="E94" s="263">
        <f>SUM(C94/52.143/37)</f>
        <v>26.454277763178286</v>
      </c>
      <c r="F94" s="381"/>
      <c r="G94" s="381"/>
      <c r="H94" s="259"/>
      <c r="I94" s="397"/>
      <c r="J94" s="397"/>
      <c r="L94" s="381"/>
    </row>
    <row r="95" spans="1:12" x14ac:dyDescent="0.35">
      <c r="A95" s="23"/>
      <c r="B95" s="266"/>
      <c r="C95" s="266"/>
      <c r="D95" s="263">
        <v>0</v>
      </c>
      <c r="E95" s="263">
        <v>0</v>
      </c>
      <c r="F95" s="381"/>
      <c r="G95" s="381"/>
      <c r="H95" s="259"/>
      <c r="I95" s="397"/>
      <c r="J95" s="397"/>
      <c r="L95" s="381"/>
    </row>
    <row r="96" spans="1:12" x14ac:dyDescent="0.35">
      <c r="A96" s="262" t="s">
        <v>46</v>
      </c>
      <c r="B96" s="272">
        <v>42617</v>
      </c>
      <c r="C96" s="273">
        <v>46548</v>
      </c>
      <c r="D96" s="263">
        <f>SUM(B96/52.143/37)</f>
        <v>22.089461880037796</v>
      </c>
      <c r="E96" s="263">
        <f>SUM(C96/52.143/37)</f>
        <v>24.12699794898748</v>
      </c>
      <c r="F96" s="381"/>
      <c r="G96" s="381"/>
      <c r="H96" s="259"/>
      <c r="I96" s="397"/>
      <c r="J96" s="397"/>
      <c r="L96" s="381"/>
    </row>
    <row r="97" spans="1:9" x14ac:dyDescent="0.35">
      <c r="A97" s="7"/>
      <c r="B97" s="7"/>
      <c r="C97" s="10"/>
      <c r="D97" s="10"/>
      <c r="E97" s="16"/>
      <c r="F97" s="241"/>
      <c r="G97" s="10"/>
      <c r="H97" s="274"/>
      <c r="I97" s="7"/>
    </row>
  </sheetData>
  <mergeCells count="1">
    <mergeCell ref="E79:F8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B878-6911-4925-B07B-3AC86F5899E2}">
  <dimension ref="A1:L92"/>
  <sheetViews>
    <sheetView topLeftCell="A36" workbookViewId="0">
      <selection activeCell="D9" sqref="D9"/>
    </sheetView>
  </sheetViews>
  <sheetFormatPr defaultColWidth="9.1796875" defaultRowHeight="14.5" x14ac:dyDescent="0.35"/>
  <cols>
    <col min="1" max="1" width="31.54296875" style="26" customWidth="1"/>
    <col min="2" max="2" width="21" style="26" customWidth="1"/>
    <col min="3" max="3" width="11.453125" style="26" customWidth="1"/>
    <col min="4" max="4" width="11.26953125" style="26" customWidth="1"/>
    <col min="5" max="5" width="11" style="26" customWidth="1"/>
    <col min="6" max="6" width="11.7265625" style="26" customWidth="1"/>
    <col min="7" max="7" width="11.1796875" style="26" customWidth="1"/>
    <col min="8" max="8" width="8.81640625" style="26" customWidth="1"/>
    <col min="9" max="9" width="10.453125" style="26" bestFit="1" customWidth="1"/>
    <col min="10" max="10" width="9.1796875" style="26"/>
    <col min="11" max="11" width="9.1796875" style="143"/>
    <col min="12" max="16384" width="9.1796875" style="26"/>
  </cols>
  <sheetData>
    <row r="1" spans="1:12" s="392" customFormat="1" ht="18" x14ac:dyDescent="0.4">
      <c r="A1" s="384"/>
      <c r="B1" s="385"/>
      <c r="C1" s="386"/>
      <c r="D1" s="387" t="s">
        <v>74</v>
      </c>
      <c r="E1" s="388"/>
      <c r="F1" s="384"/>
      <c r="G1" s="389" t="s">
        <v>77</v>
      </c>
      <c r="H1" s="390"/>
      <c r="I1" s="391"/>
      <c r="K1" s="393"/>
    </row>
    <row r="2" spans="1:12" x14ac:dyDescent="0.35">
      <c r="A2" s="1"/>
      <c r="B2" s="1"/>
      <c r="C2" s="6"/>
      <c r="D2" s="1"/>
      <c r="E2" s="27"/>
      <c r="F2" s="1"/>
      <c r="G2" s="1"/>
      <c r="H2" s="1"/>
      <c r="I2" s="28"/>
    </row>
    <row r="3" spans="1:12" ht="15" thickBot="1" x14ac:dyDescent="0.4">
      <c r="A3" s="1"/>
      <c r="B3" s="1"/>
      <c r="C3" s="6"/>
      <c r="D3" s="30"/>
      <c r="E3" s="31"/>
      <c r="F3" s="1"/>
      <c r="G3" s="1"/>
      <c r="H3" s="2"/>
      <c r="I3" s="30"/>
    </row>
    <row r="4" spans="1:12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</row>
    <row r="5" spans="1:12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12" ht="15" thickBot="1" x14ac:dyDescent="0.4">
      <c r="A6" s="71"/>
      <c r="B6" s="341" t="s">
        <v>11</v>
      </c>
      <c r="C6" s="207"/>
      <c r="D6" s="207" t="s">
        <v>0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12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</row>
    <row r="8" spans="1:12" x14ac:dyDescent="0.35">
      <c r="A8" s="6" t="s">
        <v>76</v>
      </c>
      <c r="B8" s="361">
        <v>1</v>
      </c>
      <c r="C8" s="370">
        <v>20258</v>
      </c>
      <c r="D8" s="371">
        <f>ROUND((C8*1.075),0)</f>
        <v>21777</v>
      </c>
      <c r="E8" s="372">
        <f>D8/12</f>
        <v>1814.75</v>
      </c>
      <c r="F8" s="372">
        <f>SUM(D8/52.143)</f>
        <v>417.63995167136528</v>
      </c>
      <c r="G8" s="373">
        <f>SUM($D8/52.143)/37</f>
        <v>11.287566261388251</v>
      </c>
      <c r="H8" s="374">
        <f>SUM($D8/52.143)/37*1.1381</f>
        <v>12.846379162085968</v>
      </c>
      <c r="I8" s="311"/>
      <c r="L8" s="200"/>
    </row>
    <row r="9" spans="1:12" ht="15" thickBot="1" x14ac:dyDescent="0.4">
      <c r="A9" s="6" t="s">
        <v>78</v>
      </c>
      <c r="B9" s="362">
        <v>2</v>
      </c>
      <c r="C9" s="375">
        <v>20441</v>
      </c>
      <c r="D9" s="376">
        <f>D11</f>
        <v>21974</v>
      </c>
      <c r="E9" s="377">
        <f>E11</f>
        <v>1831.1666666666667</v>
      </c>
      <c r="F9" s="377">
        <f>F11</f>
        <v>421.41802351226437</v>
      </c>
      <c r="G9" s="378">
        <f>G11</f>
        <v>11.38967631114228</v>
      </c>
      <c r="H9" s="379">
        <f>H11</f>
        <v>12.962590609711027</v>
      </c>
      <c r="I9" s="311"/>
      <c r="L9" s="200"/>
    </row>
    <row r="10" spans="1:12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311"/>
      <c r="L10" s="200"/>
    </row>
    <row r="11" spans="1:12" x14ac:dyDescent="0.35">
      <c r="A11" s="6"/>
      <c r="B11" s="342">
        <v>2</v>
      </c>
      <c r="C11" s="180">
        <f>C9</f>
        <v>20441</v>
      </c>
      <c r="D11" s="180">
        <f>ROUND((C11*1.075),0)</f>
        <v>21974</v>
      </c>
      <c r="E11" s="157">
        <f>D11/12</f>
        <v>1831.1666666666667</v>
      </c>
      <c r="F11" s="158">
        <f>SUM(D11/52.143)</f>
        <v>421.41802351226437</v>
      </c>
      <c r="G11" s="170">
        <f>SUM($D11/52.143)/37</f>
        <v>11.38967631114228</v>
      </c>
      <c r="H11" s="328">
        <f>SUM($D11/52.143)/37*1.1381</f>
        <v>12.962590609711027</v>
      </c>
      <c r="I11" s="311"/>
      <c r="L11" s="200"/>
    </row>
    <row r="12" spans="1:12" ht="15" thickBot="1" x14ac:dyDescent="0.4">
      <c r="A12" s="6"/>
      <c r="B12" s="343">
        <v>3</v>
      </c>
      <c r="C12" s="223">
        <v>20812</v>
      </c>
      <c r="D12" s="223">
        <f>ROUND((C12*1.075),0)</f>
        <v>22373</v>
      </c>
      <c r="E12" s="151">
        <f>D12/12</f>
        <v>1864.4166666666667</v>
      </c>
      <c r="F12" s="152">
        <f>SUM(D12/52.143)</f>
        <v>429.07005734230864</v>
      </c>
      <c r="G12" s="163">
        <f>SUM($D12/52.143)/37</f>
        <v>11.596488036278611</v>
      </c>
      <c r="H12" s="322">
        <f>SUM($D12/52.143)/37*1.1381</f>
        <v>13.197963034088685</v>
      </c>
      <c r="I12" s="311"/>
      <c r="L12" s="200"/>
    </row>
    <row r="13" spans="1:12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311"/>
      <c r="L13" s="200"/>
    </row>
    <row r="14" spans="1:12" x14ac:dyDescent="0.35">
      <c r="A14" s="6"/>
      <c r="B14" s="342">
        <v>3</v>
      </c>
      <c r="C14" s="180">
        <f t="shared" ref="C14:H14" si="0">C12</f>
        <v>20812</v>
      </c>
      <c r="D14" s="183">
        <f t="shared" si="0"/>
        <v>22373</v>
      </c>
      <c r="E14" s="285">
        <f t="shared" si="0"/>
        <v>1864.4166666666667</v>
      </c>
      <c r="F14" s="285">
        <f t="shared" si="0"/>
        <v>429.07005734230864</v>
      </c>
      <c r="G14" s="284">
        <f t="shared" si="0"/>
        <v>11.596488036278611</v>
      </c>
      <c r="H14" s="331">
        <f t="shared" si="0"/>
        <v>13.197963034088685</v>
      </c>
      <c r="I14" s="311"/>
      <c r="L14" s="200"/>
    </row>
    <row r="15" spans="1:12" ht="15" thickBot="1" x14ac:dyDescent="0.4">
      <c r="A15" s="6"/>
      <c r="B15" s="344">
        <v>4</v>
      </c>
      <c r="C15" s="182">
        <v>21189</v>
      </c>
      <c r="D15" s="178">
        <f>ROUND((C15*1.075),0)</f>
        <v>22778</v>
      </c>
      <c r="E15" s="159">
        <f>D15/12</f>
        <v>1898.1666666666667</v>
      </c>
      <c r="F15" s="160">
        <f>SUM(D15/52.143)</f>
        <v>436.83715935024833</v>
      </c>
      <c r="G15" s="172">
        <f>SUM($D15/52.143)/37</f>
        <v>11.806409712168874</v>
      </c>
      <c r="H15" s="333">
        <f>SUM($D15/52.143)/37*1.1381</f>
        <v>13.436874893419393</v>
      </c>
      <c r="I15" s="311"/>
      <c r="L15" s="200"/>
    </row>
    <row r="16" spans="1:12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311"/>
      <c r="L16" s="200"/>
    </row>
    <row r="17" spans="1:12" x14ac:dyDescent="0.35">
      <c r="A17" s="6"/>
      <c r="B17" s="342">
        <v>5</v>
      </c>
      <c r="C17" s="223">
        <v>21575</v>
      </c>
      <c r="D17" s="223">
        <f>ROUND((C17*1.075),0)</f>
        <v>23193</v>
      </c>
      <c r="E17" s="151">
        <f>D17/12</f>
        <v>1932.75</v>
      </c>
      <c r="F17" s="152">
        <f>SUM(D17/52.143)</f>
        <v>444.79604165468038</v>
      </c>
      <c r="G17" s="163">
        <f>SUM($D17/52.143)/37</f>
        <v>12.021514639315686</v>
      </c>
      <c r="H17" s="322">
        <f>SUM($D17/52.143)/37*1.1381</f>
        <v>13.681685811005181</v>
      </c>
      <c r="I17" s="311"/>
      <c r="L17" s="200"/>
    </row>
    <row r="18" spans="1:12" ht="15" thickBot="1" x14ac:dyDescent="0.4">
      <c r="A18" s="6"/>
      <c r="B18" s="344">
        <v>6</v>
      </c>
      <c r="C18" s="182">
        <v>21968</v>
      </c>
      <c r="D18" s="178">
        <f>ROUND((C18*1.075),0)</f>
        <v>23616</v>
      </c>
      <c r="E18" s="159">
        <f>D18/12</f>
        <v>1968</v>
      </c>
      <c r="F18" s="160">
        <f>SUM(D18/52.143)</f>
        <v>452.90834819630629</v>
      </c>
      <c r="G18" s="172">
        <f>SUM($D18/52.143)/37</f>
        <v>12.240766167467738</v>
      </c>
      <c r="H18" s="333">
        <f>SUM($D18/52.143)/37*1.1381</f>
        <v>13.931215975195032</v>
      </c>
      <c r="I18" s="311"/>
      <c r="L18" s="200"/>
    </row>
    <row r="19" spans="1:12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311"/>
      <c r="L19" s="200"/>
    </row>
    <row r="20" spans="1:12" x14ac:dyDescent="0.35">
      <c r="A20" s="6"/>
      <c r="B20" s="342">
        <v>7</v>
      </c>
      <c r="C20" s="180">
        <v>22369</v>
      </c>
      <c r="D20" s="180">
        <f>ROUND((C20*1.075),0)</f>
        <v>24047</v>
      </c>
      <c r="E20" s="157">
        <f>D20/12</f>
        <v>2003.9166666666667</v>
      </c>
      <c r="F20" s="158">
        <f>SUM(D20/52.143)</f>
        <v>461.17407897512606</v>
      </c>
      <c r="G20" s="170">
        <f>SUM($D20/52.143)/37</f>
        <v>12.464164296625029</v>
      </c>
      <c r="H20" s="328">
        <f>SUM($D20/52.143)/37*1.1381</f>
        <v>14.185465385988945</v>
      </c>
      <c r="I20" s="311"/>
      <c r="L20" s="200"/>
    </row>
    <row r="21" spans="1:12" x14ac:dyDescent="0.35">
      <c r="A21" s="6"/>
      <c r="B21" s="342">
        <v>8</v>
      </c>
      <c r="C21" s="175">
        <v>22777</v>
      </c>
      <c r="D21" s="175">
        <f>ROUND((C21*1.075),0)</f>
        <v>24485</v>
      </c>
      <c r="E21" s="149">
        <f>D21/12</f>
        <v>2040.4166666666667</v>
      </c>
      <c r="F21" s="150">
        <f>SUM(D21/52.143)</f>
        <v>469.5740559614905</v>
      </c>
      <c r="G21" s="161">
        <f>SUM($D21/52.143)/37</f>
        <v>12.691190701661906</v>
      </c>
      <c r="H21" s="329">
        <f>SUM($D21/52.143)/37*1.1381</f>
        <v>14.443844137561413</v>
      </c>
      <c r="I21" s="311"/>
      <c r="L21" s="200"/>
    </row>
    <row r="22" spans="1:12" x14ac:dyDescent="0.35">
      <c r="A22" s="6"/>
      <c r="B22" s="342">
        <v>9</v>
      </c>
      <c r="C22" s="175">
        <v>23194</v>
      </c>
      <c r="D22" s="175">
        <f>ROUND((C22*1.075),0)</f>
        <v>24934</v>
      </c>
      <c r="E22" s="149">
        <f>D22/12</f>
        <v>2077.8333333333335</v>
      </c>
      <c r="F22" s="150">
        <f>SUM(D22/52.143)</f>
        <v>478.1849912739965</v>
      </c>
      <c r="G22" s="161">
        <f>SUM($D22/52.143)/37</f>
        <v>12.923918683080986</v>
      </c>
      <c r="H22" s="329">
        <f>SUM($D22/52.143)/37*1.1381</f>
        <v>14.708711853214469</v>
      </c>
      <c r="I22" s="311"/>
      <c r="L22" s="200"/>
    </row>
    <row r="23" spans="1:12" x14ac:dyDescent="0.35">
      <c r="A23" s="6"/>
      <c r="B23" s="345">
        <v>10</v>
      </c>
      <c r="C23" s="223">
        <v>23620</v>
      </c>
      <c r="D23" s="223">
        <f>ROUND((C23*1.075),0)</f>
        <v>25392</v>
      </c>
      <c r="E23" s="151">
        <f>D23/12</f>
        <v>2116</v>
      </c>
      <c r="F23" s="152">
        <f>SUM(D23/52.143)</f>
        <v>486.96852885334562</v>
      </c>
      <c r="G23" s="163">
        <f>SUM($D23/52.143)/37</f>
        <v>13.161311590630962</v>
      </c>
      <c r="H23" s="322">
        <f>SUM($D23/52.143)/37*1.1381</f>
        <v>14.978888721297096</v>
      </c>
      <c r="I23" s="311"/>
      <c r="L23" s="200"/>
    </row>
    <row r="24" spans="1:12" ht="15" thickBot="1" x14ac:dyDescent="0.4">
      <c r="A24" s="6"/>
      <c r="B24" s="344">
        <v>11</v>
      </c>
      <c r="C24" s="182">
        <v>24054</v>
      </c>
      <c r="D24" s="178">
        <f>ROUND((C24*1.075),0)</f>
        <v>25858</v>
      </c>
      <c r="E24" s="159">
        <f>D24/12</f>
        <v>2154.8333333333335</v>
      </c>
      <c r="F24" s="160">
        <f>SUM(D24/52.143)</f>
        <v>495.90549066988859</v>
      </c>
      <c r="G24" s="172">
        <f>SUM($D24/52.143)/37</f>
        <v>13.402851099186178</v>
      </c>
      <c r="H24" s="333">
        <f>SUM($D24/52.143)/37*1.1381</f>
        <v>15.253784835983787</v>
      </c>
      <c r="I24" s="311"/>
      <c r="L24" s="200"/>
    </row>
    <row r="25" spans="1:12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311"/>
      <c r="L25" s="200"/>
    </row>
    <row r="26" spans="1:12" x14ac:dyDescent="0.35">
      <c r="A26" s="6"/>
      <c r="B26" s="342">
        <v>12</v>
      </c>
      <c r="C26" s="180">
        <v>24496</v>
      </c>
      <c r="D26" s="180">
        <f t="shared" ref="D26:D31" si="1">ROUND((C26*1.075),0)</f>
        <v>26333</v>
      </c>
      <c r="E26" s="157">
        <f t="shared" ref="E26:E31" si="2">D26/12</f>
        <v>2194.4166666666665</v>
      </c>
      <c r="F26" s="158">
        <f t="shared" ref="F26:F31" si="3">SUM(D26/52.143)</f>
        <v>505.01505475327463</v>
      </c>
      <c r="G26" s="170">
        <f t="shared" ref="G26:G31" si="4">SUM($D26/52.143)/37</f>
        <v>13.649055533872287</v>
      </c>
      <c r="H26" s="328">
        <f t="shared" ref="H26:H31" si="5">SUM($D26/52.143)/37*1.1381</f>
        <v>15.533990103100049</v>
      </c>
      <c r="I26" s="311"/>
      <c r="L26" s="200"/>
    </row>
    <row r="27" spans="1:12" x14ac:dyDescent="0.35">
      <c r="A27" s="6"/>
      <c r="B27" s="342">
        <v>13</v>
      </c>
      <c r="C27" s="175">
        <v>24948</v>
      </c>
      <c r="D27" s="175">
        <f t="shared" si="1"/>
        <v>26819</v>
      </c>
      <c r="E27" s="149">
        <f t="shared" si="2"/>
        <v>2234.9166666666665</v>
      </c>
      <c r="F27" s="150">
        <f t="shared" si="3"/>
        <v>514.33557716280234</v>
      </c>
      <c r="G27" s="161">
        <f t="shared" si="4"/>
        <v>13.900961544940603</v>
      </c>
      <c r="H27" s="329">
        <f t="shared" si="5"/>
        <v>15.820684334296899</v>
      </c>
      <c r="I27" s="311"/>
      <c r="L27" s="200"/>
    </row>
    <row r="28" spans="1:12" x14ac:dyDescent="0.35">
      <c r="A28" s="6"/>
      <c r="B28" s="342">
        <v>14</v>
      </c>
      <c r="C28" s="175">
        <v>25409</v>
      </c>
      <c r="D28" s="175">
        <f t="shared" si="1"/>
        <v>27315</v>
      </c>
      <c r="E28" s="149">
        <f t="shared" si="2"/>
        <v>2276.25</v>
      </c>
      <c r="F28" s="150">
        <f t="shared" si="3"/>
        <v>523.84787986882225</v>
      </c>
      <c r="G28" s="161">
        <f t="shared" si="4"/>
        <v>14.158050807265466</v>
      </c>
      <c r="H28" s="329">
        <f t="shared" si="5"/>
        <v>16.113277623748825</v>
      </c>
      <c r="I28" s="311"/>
      <c r="L28" s="200"/>
    </row>
    <row r="29" spans="1:12" x14ac:dyDescent="0.35">
      <c r="A29" s="6"/>
      <c r="B29" s="342">
        <v>15</v>
      </c>
      <c r="C29" s="175">
        <v>25878</v>
      </c>
      <c r="D29" s="175">
        <f t="shared" si="1"/>
        <v>27819</v>
      </c>
      <c r="E29" s="149">
        <f t="shared" si="2"/>
        <v>2318.25</v>
      </c>
      <c r="F29" s="150">
        <f t="shared" si="3"/>
        <v>533.51360681203607</v>
      </c>
      <c r="G29" s="161">
        <f t="shared" si="4"/>
        <v>14.41928667059557</v>
      </c>
      <c r="H29" s="329">
        <f t="shared" si="5"/>
        <v>16.410590159804816</v>
      </c>
      <c r="I29" s="311"/>
      <c r="L29" s="200"/>
    </row>
    <row r="30" spans="1:12" x14ac:dyDescent="0.35">
      <c r="A30" s="6"/>
      <c r="B30" s="342">
        <v>16</v>
      </c>
      <c r="C30" s="223">
        <v>26357</v>
      </c>
      <c r="D30" s="223">
        <f t="shared" si="1"/>
        <v>28334</v>
      </c>
      <c r="E30" s="151">
        <f t="shared" si="2"/>
        <v>2361.1666666666665</v>
      </c>
      <c r="F30" s="152">
        <f t="shared" si="3"/>
        <v>543.39029208139152</v>
      </c>
      <c r="G30" s="163">
        <f t="shared" si="4"/>
        <v>14.686224110307879</v>
      </c>
      <c r="H30" s="322">
        <f t="shared" si="5"/>
        <v>16.714391659941395</v>
      </c>
      <c r="I30" s="311"/>
      <c r="L30" s="200"/>
    </row>
    <row r="31" spans="1:12" ht="15" thickBot="1" x14ac:dyDescent="0.4">
      <c r="A31" s="6"/>
      <c r="B31" s="345">
        <v>17</v>
      </c>
      <c r="C31" s="182">
        <v>26845</v>
      </c>
      <c r="D31" s="182">
        <f t="shared" si="1"/>
        <v>28858</v>
      </c>
      <c r="E31" s="159">
        <f t="shared" si="2"/>
        <v>2404.8333333333335</v>
      </c>
      <c r="F31" s="160">
        <f t="shared" si="3"/>
        <v>553.43957961759008</v>
      </c>
      <c r="G31" s="172">
        <f t="shared" si="4"/>
        <v>14.957826476151084</v>
      </c>
      <c r="H31" s="333">
        <f t="shared" si="5"/>
        <v>17.023502312507546</v>
      </c>
      <c r="I31" s="311"/>
      <c r="L31" s="200"/>
    </row>
    <row r="32" spans="1:12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311"/>
      <c r="L32" s="200"/>
    </row>
    <row r="33" spans="1:12" s="1" customFormat="1" ht="15.75" customHeight="1" x14ac:dyDescent="0.35">
      <c r="B33" s="346">
        <v>18</v>
      </c>
      <c r="C33" s="339">
        <v>27344</v>
      </c>
      <c r="D33" s="296">
        <f>ROUND((C33*1.075),0)</f>
        <v>29395</v>
      </c>
      <c r="E33" s="297">
        <f>D33/12</f>
        <v>2449.5833333333335</v>
      </c>
      <c r="F33" s="297">
        <f>SUM(D33/52.143)</f>
        <v>563.73818153922866</v>
      </c>
      <c r="G33" s="298">
        <f>SUM($D33/52.143)/37</f>
        <v>15.236167068627802</v>
      </c>
      <c r="H33" s="336">
        <f>SUM($D33/52.143)/37*1.1381</f>
        <v>17.340281740805299</v>
      </c>
      <c r="I33" s="311"/>
      <c r="K33" s="380"/>
      <c r="L33" s="200"/>
    </row>
    <row r="34" spans="1:12" x14ac:dyDescent="0.35">
      <c r="A34" s="6"/>
      <c r="B34" s="342">
        <v>19</v>
      </c>
      <c r="C34" s="180">
        <v>27852</v>
      </c>
      <c r="D34" s="180">
        <f>ROUND((C34*1.075),0)</f>
        <v>29941</v>
      </c>
      <c r="E34" s="157">
        <f>D34/12</f>
        <v>2495.0833333333335</v>
      </c>
      <c r="F34" s="158">
        <f>SUM(D34/52.143)</f>
        <v>574.20938572771036</v>
      </c>
      <c r="G34" s="170">
        <f>SUM($D34/52.143)/37</f>
        <v>15.519172587235415</v>
      </c>
      <c r="H34" s="328">
        <f>SUM($D34/52.143)/37*1.1381</f>
        <v>17.662370321532624</v>
      </c>
      <c r="I34" s="311"/>
      <c r="L34" s="200"/>
    </row>
    <row r="35" spans="1:12" x14ac:dyDescent="0.35">
      <c r="A35" s="6"/>
      <c r="B35" s="342">
        <v>20</v>
      </c>
      <c r="C35" s="175">
        <v>28371</v>
      </c>
      <c r="D35" s="175">
        <f>ROUND((C35*1.075),0)</f>
        <v>30499</v>
      </c>
      <c r="E35" s="149">
        <f>D35/12</f>
        <v>2541.5833333333335</v>
      </c>
      <c r="F35" s="150">
        <f>SUM(D35/52.143)</f>
        <v>584.91072627198275</v>
      </c>
      <c r="G35" s="161">
        <f>SUM($D35/52.143)/37</f>
        <v>15.808398007350885</v>
      </c>
      <c r="H35" s="329">
        <f>SUM($D35/52.143)/37*1.1381</f>
        <v>17.991537772166041</v>
      </c>
      <c r="I35" s="311"/>
      <c r="L35" s="200"/>
    </row>
    <row r="36" spans="1:12" x14ac:dyDescent="0.35">
      <c r="A36" s="6"/>
      <c r="B36" s="345">
        <v>21</v>
      </c>
      <c r="C36" s="223">
        <v>28900</v>
      </c>
      <c r="D36" s="223">
        <f>ROUND((C36*1.075),0)</f>
        <v>31068</v>
      </c>
      <c r="E36" s="151">
        <f>D36/12</f>
        <v>2589</v>
      </c>
      <c r="F36" s="152">
        <f>SUM(D36/52.143)</f>
        <v>595.82302514239689</v>
      </c>
      <c r="G36" s="163">
        <f>SUM($D36/52.143)/37</f>
        <v>16.103325003848564</v>
      </c>
      <c r="H36" s="322">
        <f>SUM($D36/52.143)/37*1.1381</f>
        <v>18.32719418688005</v>
      </c>
      <c r="I36" s="311"/>
      <c r="L36" s="200"/>
    </row>
    <row r="37" spans="1:12" ht="15" thickBot="1" x14ac:dyDescent="0.4">
      <c r="A37" s="6"/>
      <c r="B37" s="344">
        <v>22</v>
      </c>
      <c r="C37" s="182">
        <v>29439</v>
      </c>
      <c r="D37" s="182">
        <f>ROUND((C37*1.075),0)</f>
        <v>31647</v>
      </c>
      <c r="E37" s="159">
        <f>D37/12</f>
        <v>2637.25</v>
      </c>
      <c r="F37" s="160">
        <f>SUM(D37/52.143)</f>
        <v>606.92710430930322</v>
      </c>
      <c r="G37" s="172">
        <f>SUM($D37/52.143)/37</f>
        <v>16.40343525160279</v>
      </c>
      <c r="H37" s="333">
        <f>SUM($D37/52.143)/37*1.1381</f>
        <v>18.668749659849134</v>
      </c>
      <c r="I37" s="311"/>
      <c r="L37" s="200"/>
    </row>
    <row r="38" spans="1:12" ht="15" thickBot="1" x14ac:dyDescent="0.4">
      <c r="A38" s="6"/>
      <c r="B38" s="345"/>
      <c r="C38" s="64"/>
      <c r="D38" s="64"/>
      <c r="E38" s="65"/>
      <c r="F38" s="65"/>
      <c r="G38" s="65"/>
      <c r="H38" s="66"/>
      <c r="I38" s="311"/>
      <c r="L38" s="200"/>
    </row>
    <row r="39" spans="1:12" x14ac:dyDescent="0.35">
      <c r="B39" s="360" t="s">
        <v>22</v>
      </c>
      <c r="C39" s="347"/>
      <c r="D39" s="348" t="s">
        <v>20</v>
      </c>
      <c r="E39" s="349" t="s">
        <v>49</v>
      </c>
      <c r="F39" s="350"/>
      <c r="G39" s="351" t="s">
        <v>21</v>
      </c>
      <c r="H39" s="352" t="s">
        <v>48</v>
      </c>
      <c r="I39" s="311"/>
      <c r="L39" s="200"/>
    </row>
    <row r="40" spans="1:12" ht="15" thickBot="1" x14ac:dyDescent="0.4">
      <c r="A40" s="1"/>
      <c r="B40" s="394">
        <v>8</v>
      </c>
      <c r="C40" s="395">
        <f>20852+1925</f>
        <v>22777</v>
      </c>
      <c r="D40" s="354">
        <f>637*1.0404</f>
        <v>662.73479999999995</v>
      </c>
      <c r="E40" s="396">
        <f>C40+D40</f>
        <v>23439.734799999998</v>
      </c>
      <c r="F40" s="356"/>
      <c r="G40" s="357">
        <f>SUM(C40+D40)/37/52.143</f>
        <v>12.149403485529138</v>
      </c>
      <c r="H40" s="358">
        <f>E40/52.143/37*1.1381</f>
        <v>13.827236106880713</v>
      </c>
      <c r="I40" s="311"/>
      <c r="J40" s="311"/>
      <c r="K40" s="311"/>
      <c r="L40" s="311"/>
    </row>
    <row r="41" spans="1:12" x14ac:dyDescent="0.35">
      <c r="A41" s="1"/>
      <c r="B41" s="1"/>
      <c r="C41" s="5"/>
      <c r="D41" s="1"/>
      <c r="E41" s="1"/>
      <c r="F41" s="1"/>
      <c r="G41" s="1"/>
      <c r="H41" s="4"/>
      <c r="I41" s="1"/>
    </row>
    <row r="42" spans="1:12" x14ac:dyDescent="0.35">
      <c r="A42" s="70" t="s">
        <v>47</v>
      </c>
      <c r="B42" s="70"/>
      <c r="C42" s="71"/>
      <c r="D42" s="72"/>
      <c r="E42" s="73"/>
      <c r="F42" s="74"/>
      <c r="G42" s="74"/>
      <c r="H42" s="75"/>
      <c r="I42" s="2"/>
    </row>
    <row r="43" spans="1:12" x14ac:dyDescent="0.35">
      <c r="A43" s="76"/>
      <c r="B43" s="76"/>
      <c r="C43" s="71"/>
      <c r="D43" s="74"/>
      <c r="E43" s="73"/>
      <c r="F43" s="74"/>
      <c r="G43" s="74"/>
      <c r="H43" s="75"/>
      <c r="I43" s="1"/>
    </row>
    <row r="44" spans="1:12" x14ac:dyDescent="0.35">
      <c r="A44" s="77" t="s">
        <v>60</v>
      </c>
      <c r="C44" s="6"/>
      <c r="D44" s="75"/>
      <c r="E44" s="29"/>
      <c r="F44" s="75"/>
      <c r="G44" s="75"/>
      <c r="H44" s="75"/>
      <c r="I44" s="1"/>
    </row>
    <row r="45" spans="1:12" x14ac:dyDescent="0.35">
      <c r="A45" s="1"/>
      <c r="B45" s="1"/>
      <c r="C45" s="6"/>
      <c r="D45" s="75"/>
      <c r="E45" s="78"/>
      <c r="F45" s="29"/>
      <c r="G45" s="29"/>
      <c r="H45" s="29"/>
      <c r="I45" s="1"/>
    </row>
    <row r="46" spans="1:12" x14ac:dyDescent="0.35">
      <c r="A46" s="224" t="s">
        <v>24</v>
      </c>
      <c r="B46" s="235" t="s">
        <v>25</v>
      </c>
      <c r="C46" s="236"/>
      <c r="D46" s="237" t="s">
        <v>26</v>
      </c>
      <c r="F46" s="29"/>
      <c r="G46" s="29"/>
      <c r="H46" s="29"/>
      <c r="I46" s="1"/>
    </row>
    <row r="47" spans="1:12" x14ac:dyDescent="0.35">
      <c r="A47" s="221"/>
      <c r="B47" s="238"/>
      <c r="C47" s="239"/>
      <c r="D47" s="240" t="s">
        <v>27</v>
      </c>
      <c r="F47" s="29"/>
      <c r="G47" s="29"/>
      <c r="H47" s="29"/>
      <c r="I47" s="1"/>
    </row>
    <row r="48" spans="1:12" x14ac:dyDescent="0.35">
      <c r="A48" s="1"/>
      <c r="B48" s="6"/>
      <c r="C48" s="75"/>
      <c r="D48" s="87"/>
      <c r="F48" s="29"/>
      <c r="G48" s="29"/>
      <c r="H48" s="29"/>
      <c r="I48" s="1"/>
    </row>
    <row r="49" spans="1:12" x14ac:dyDescent="0.35">
      <c r="A49" s="214" t="s">
        <v>28</v>
      </c>
      <c r="B49" s="89" t="s">
        <v>29</v>
      </c>
      <c r="C49" s="90">
        <v>10000</v>
      </c>
      <c r="D49" s="91">
        <v>45</v>
      </c>
      <c r="F49" s="29"/>
      <c r="G49" s="29"/>
      <c r="H49" s="29"/>
      <c r="I49" s="1"/>
    </row>
    <row r="50" spans="1:12" x14ac:dyDescent="0.35">
      <c r="A50" s="1"/>
      <c r="B50" s="92" t="s">
        <v>30</v>
      </c>
      <c r="C50" s="90">
        <v>10000</v>
      </c>
      <c r="D50" s="93">
        <v>25</v>
      </c>
      <c r="F50" s="29"/>
      <c r="G50" s="29"/>
      <c r="H50" s="29"/>
      <c r="I50" s="1"/>
    </row>
    <row r="51" spans="1:12" x14ac:dyDescent="0.35">
      <c r="A51" s="1"/>
      <c r="B51" s="1"/>
      <c r="C51" s="6"/>
      <c r="D51" s="1"/>
      <c r="E51" s="78"/>
      <c r="F51" s="29"/>
      <c r="G51" s="29"/>
      <c r="H51" s="29"/>
      <c r="I51" s="2"/>
    </row>
    <row r="52" spans="1:12" x14ac:dyDescent="0.35">
      <c r="A52" s="7"/>
      <c r="B52" s="7"/>
      <c r="C52" s="7"/>
      <c r="D52" s="10"/>
      <c r="E52" s="16"/>
      <c r="F52" s="241"/>
      <c r="G52" s="10"/>
      <c r="H52" s="242"/>
      <c r="I52" s="7"/>
    </row>
    <row r="53" spans="1:12" x14ac:dyDescent="0.35">
      <c r="A53" s="301" t="s">
        <v>31</v>
      </c>
      <c r="B53" s="116" t="s">
        <v>75</v>
      </c>
      <c r="C53" s="74"/>
      <c r="D53" s="300"/>
      <c r="E53" s="245"/>
      <c r="G53" s="7" t="s">
        <v>32</v>
      </c>
    </row>
    <row r="54" spans="1:12" x14ac:dyDescent="0.35">
      <c r="A54" s="1"/>
      <c r="B54" s="101"/>
      <c r="C54" s="75"/>
      <c r="D54" s="246"/>
      <c r="E54" s="245"/>
      <c r="F54" s="75"/>
      <c r="G54" s="247"/>
      <c r="H54" s="7"/>
    </row>
    <row r="55" spans="1:12" x14ac:dyDescent="0.35">
      <c r="A55" s="202" t="s">
        <v>33</v>
      </c>
      <c r="B55" s="203" t="s">
        <v>8</v>
      </c>
      <c r="C55" s="203" t="s">
        <v>4</v>
      </c>
      <c r="D55" s="203" t="s">
        <v>5</v>
      </c>
      <c r="E55" s="204" t="s">
        <v>6</v>
      </c>
      <c r="F55" s="205" t="s">
        <v>7</v>
      </c>
      <c r="G55" s="12"/>
    </row>
    <row r="56" spans="1:12" x14ac:dyDescent="0.35">
      <c r="A56" s="211"/>
      <c r="B56" s="212" t="s">
        <v>11</v>
      </c>
      <c r="C56" s="212" t="s">
        <v>9</v>
      </c>
      <c r="D56" s="302" t="s">
        <v>9</v>
      </c>
      <c r="E56" s="303" t="s">
        <v>9</v>
      </c>
      <c r="F56" s="304" t="s">
        <v>10</v>
      </c>
      <c r="G56" s="13" t="s">
        <v>34</v>
      </c>
      <c r="I56" s="397"/>
    </row>
    <row r="57" spans="1:12" x14ac:dyDescent="0.35">
      <c r="A57" s="1"/>
      <c r="B57" s="6"/>
      <c r="C57" s="14" t="s">
        <v>14</v>
      </c>
      <c r="D57" s="14" t="s">
        <v>14</v>
      </c>
      <c r="E57" s="14" t="s">
        <v>14</v>
      </c>
      <c r="F57" s="305" t="s">
        <v>14</v>
      </c>
      <c r="G57" s="306" t="s">
        <v>14</v>
      </c>
      <c r="I57" s="397"/>
    </row>
    <row r="58" spans="1:12" x14ac:dyDescent="0.35">
      <c r="A58" s="249">
        <v>8</v>
      </c>
      <c r="B58" s="109">
        <v>1</v>
      </c>
      <c r="C58" s="175">
        <f>31988+1925</f>
        <v>33913</v>
      </c>
      <c r="D58" s="148">
        <f>C58/12</f>
        <v>2826.0833333333335</v>
      </c>
      <c r="E58" s="149">
        <f>SUM(C58/52.143)</f>
        <v>650.3845194944671</v>
      </c>
      <c r="F58" s="174">
        <f>SUM(C58/52.143)/37</f>
        <v>17.57795998633695</v>
      </c>
      <c r="G58" s="234">
        <f t="shared" ref="G58:G67" si="6">SUM(C58*113.81%)</f>
        <v>38596.385300000002</v>
      </c>
      <c r="I58" s="397"/>
      <c r="L58" s="200"/>
    </row>
    <row r="59" spans="1:12" x14ac:dyDescent="0.35">
      <c r="A59" s="110"/>
      <c r="B59" s="111">
        <v>2</v>
      </c>
      <c r="C59" s="175">
        <f>32850+1925</f>
        <v>34775</v>
      </c>
      <c r="D59" s="148">
        <f t="shared" ref="D59:D66" si="7">C59/12</f>
        <v>2897.9166666666665</v>
      </c>
      <c r="E59" s="149">
        <f t="shared" ref="E59:E67" si="8">SUM(C59/52.143)</f>
        <v>666.91598105210664</v>
      </c>
      <c r="F59" s="174">
        <f t="shared" ref="F59:F67" si="9">SUM(C59/52.143)/37</f>
        <v>18.024756244651531</v>
      </c>
      <c r="G59" s="234">
        <f t="shared" si="6"/>
        <v>39577.427500000005</v>
      </c>
      <c r="I59" s="397"/>
      <c r="L59" s="200"/>
    </row>
    <row r="60" spans="1:12" x14ac:dyDescent="0.35">
      <c r="A60" s="110"/>
      <c r="B60" s="111">
        <v>3</v>
      </c>
      <c r="C60" s="175">
        <f>33705+1925</f>
        <v>35630</v>
      </c>
      <c r="D60" s="148">
        <f t="shared" si="7"/>
        <v>2969.1666666666665</v>
      </c>
      <c r="E60" s="149">
        <f t="shared" si="8"/>
        <v>683.31319640220158</v>
      </c>
      <c r="F60" s="174">
        <f t="shared" si="9"/>
        <v>18.467924227086531</v>
      </c>
      <c r="G60" s="234">
        <f t="shared" si="6"/>
        <v>40550.503000000004</v>
      </c>
      <c r="I60" s="397"/>
      <c r="L60" s="200"/>
    </row>
    <row r="61" spans="1:12" x14ac:dyDescent="0.35">
      <c r="A61" s="110"/>
      <c r="B61" s="111">
        <v>4</v>
      </c>
      <c r="C61" s="175">
        <f>34703+1925</f>
        <v>36628</v>
      </c>
      <c r="D61" s="148">
        <f t="shared" si="7"/>
        <v>3052.3333333333335</v>
      </c>
      <c r="E61" s="149">
        <f t="shared" si="8"/>
        <v>702.45286999213704</v>
      </c>
      <c r="F61" s="174">
        <f t="shared" si="9"/>
        <v>18.985212702490191</v>
      </c>
      <c r="G61" s="234">
        <f t="shared" si="6"/>
        <v>41686.326800000003</v>
      </c>
      <c r="I61" s="397"/>
      <c r="L61" s="200"/>
    </row>
    <row r="62" spans="1:12" x14ac:dyDescent="0.35">
      <c r="A62" s="110"/>
      <c r="B62" s="111">
        <v>5</v>
      </c>
      <c r="C62" s="175">
        <f>35705+1925</f>
        <v>37630</v>
      </c>
      <c r="D62" s="148">
        <f t="shared" si="7"/>
        <v>3135.8333333333335</v>
      </c>
      <c r="E62" s="149">
        <f t="shared" si="8"/>
        <v>721.66925570066928</v>
      </c>
      <c r="F62" s="174">
        <f t="shared" si="9"/>
        <v>19.504574478396467</v>
      </c>
      <c r="G62" s="234">
        <f t="shared" si="6"/>
        <v>42826.703000000001</v>
      </c>
      <c r="I62" s="397"/>
      <c r="L62" s="200"/>
    </row>
    <row r="63" spans="1:12" x14ac:dyDescent="0.35">
      <c r="A63" s="249">
        <v>7</v>
      </c>
      <c r="B63" s="109">
        <v>1</v>
      </c>
      <c r="C63" s="175">
        <f>36417+1925</f>
        <v>38342</v>
      </c>
      <c r="D63" s="148">
        <f t="shared" si="7"/>
        <v>3195.1666666666665</v>
      </c>
      <c r="E63" s="149">
        <f t="shared" si="8"/>
        <v>735.32401281092382</v>
      </c>
      <c r="F63" s="174">
        <f t="shared" si="9"/>
        <v>19.873621967862807</v>
      </c>
      <c r="G63" s="234">
        <f t="shared" si="6"/>
        <v>43637.030200000001</v>
      </c>
      <c r="I63" s="397"/>
      <c r="L63" s="200"/>
    </row>
    <row r="64" spans="1:12" x14ac:dyDescent="0.35">
      <c r="A64" s="110"/>
      <c r="B64" s="111">
        <v>2</v>
      </c>
      <c r="C64" s="175">
        <f>37418+1925</f>
        <v>39343</v>
      </c>
      <c r="D64" s="148">
        <f t="shared" si="7"/>
        <v>3278.5833333333335</v>
      </c>
      <c r="E64" s="149">
        <f t="shared" si="8"/>
        <v>754.52122048980686</v>
      </c>
      <c r="F64" s="174">
        <f t="shared" si="9"/>
        <v>20.392465418643429</v>
      </c>
      <c r="G64" s="234">
        <f t="shared" si="6"/>
        <v>44776.268300000003</v>
      </c>
      <c r="I64" s="397"/>
      <c r="L64" s="200"/>
    </row>
    <row r="65" spans="1:12" x14ac:dyDescent="0.35">
      <c r="A65" s="110"/>
      <c r="B65" s="111">
        <v>3</v>
      </c>
      <c r="C65" s="175">
        <f>38418+1925</f>
        <v>40343</v>
      </c>
      <c r="D65" s="148">
        <f t="shared" si="7"/>
        <v>3361.9166666666665</v>
      </c>
      <c r="E65" s="149">
        <f t="shared" si="8"/>
        <v>773.69925013904071</v>
      </c>
      <c r="F65" s="174">
        <f t="shared" si="9"/>
        <v>20.910790544298397</v>
      </c>
      <c r="G65" s="234">
        <f t="shared" si="6"/>
        <v>45914.368300000002</v>
      </c>
      <c r="I65" s="397"/>
      <c r="L65" s="200"/>
    </row>
    <row r="66" spans="1:12" x14ac:dyDescent="0.35">
      <c r="A66" s="110"/>
      <c r="B66" s="111">
        <v>4</v>
      </c>
      <c r="C66" s="175">
        <f>39417+1925</f>
        <v>41342</v>
      </c>
      <c r="D66" s="148">
        <f t="shared" si="7"/>
        <v>3445.1666666666665</v>
      </c>
      <c r="E66" s="149">
        <f t="shared" si="8"/>
        <v>792.85810175862525</v>
      </c>
      <c r="F66" s="174">
        <f t="shared" si="9"/>
        <v>21.428597344827711</v>
      </c>
      <c r="G66" s="234">
        <f t="shared" si="6"/>
        <v>47051.330200000004</v>
      </c>
      <c r="I66" s="397"/>
      <c r="L66" s="200"/>
    </row>
    <row r="67" spans="1:12" x14ac:dyDescent="0.35">
      <c r="A67" s="110"/>
      <c r="B67" s="111">
        <v>5</v>
      </c>
      <c r="C67" s="175">
        <f>40382+1925</f>
        <v>42307</v>
      </c>
      <c r="D67" s="148">
        <f>C67/12</f>
        <v>3525.5833333333335</v>
      </c>
      <c r="E67" s="149">
        <f t="shared" si="8"/>
        <v>811.36490037013596</v>
      </c>
      <c r="F67" s="174">
        <f t="shared" si="9"/>
        <v>21.928781091084755</v>
      </c>
      <c r="G67" s="234">
        <f t="shared" si="6"/>
        <v>48149.596700000002</v>
      </c>
      <c r="I67" s="397"/>
      <c r="L67" s="200"/>
    </row>
    <row r="68" spans="1:12" x14ac:dyDescent="0.35">
      <c r="A68" s="1"/>
      <c r="B68" s="6"/>
      <c r="C68" s="112"/>
      <c r="D68" s="58"/>
      <c r="E68" s="58"/>
      <c r="F68" s="66"/>
      <c r="G68" s="248"/>
      <c r="H68" s="7"/>
    </row>
    <row r="69" spans="1:12" x14ac:dyDescent="0.35">
      <c r="A69" s="253"/>
      <c r="B69" s="253"/>
      <c r="C69" s="6"/>
      <c r="D69" s="67"/>
      <c r="E69" s="254"/>
      <c r="F69" s="255"/>
      <c r="G69" s="66"/>
      <c r="H69" s="248"/>
      <c r="I69" s="7"/>
    </row>
    <row r="70" spans="1:12" x14ac:dyDescent="0.35">
      <c r="A70" s="7"/>
      <c r="B70" s="7"/>
      <c r="C70" s="116"/>
      <c r="D70" s="117"/>
      <c r="E70" s="16"/>
      <c r="F70" s="256"/>
      <c r="G70" s="257"/>
      <c r="H70" s="242"/>
      <c r="I70" s="7"/>
    </row>
    <row r="73" spans="1:12" x14ac:dyDescent="0.35">
      <c r="A73" s="125" t="s">
        <v>35</v>
      </c>
      <c r="B73" s="116" t="s">
        <v>75</v>
      </c>
      <c r="C73" s="126"/>
      <c r="D73" s="127"/>
    </row>
    <row r="74" spans="1:12" x14ac:dyDescent="0.35">
      <c r="A74" s="125"/>
      <c r="B74" s="125"/>
      <c r="C74" s="126"/>
      <c r="D74" s="127"/>
      <c r="E74" s="421"/>
      <c r="F74" s="421"/>
    </row>
    <row r="75" spans="1:12" x14ac:dyDescent="0.35">
      <c r="A75" s="129" t="s">
        <v>36</v>
      </c>
      <c r="B75" s="7"/>
      <c r="D75" s="127"/>
      <c r="E75" s="421"/>
      <c r="F75" s="421"/>
    </row>
    <row r="76" spans="1:12" ht="26.5" x14ac:dyDescent="0.35">
      <c r="A76" s="7"/>
      <c r="B76" s="7"/>
      <c r="C76" s="117"/>
      <c r="D76" s="288" t="s">
        <v>37</v>
      </c>
      <c r="E76" s="288" t="s">
        <v>37</v>
      </c>
    </row>
    <row r="77" spans="1:12" x14ac:dyDescent="0.35">
      <c r="A77" s="260" t="s">
        <v>33</v>
      </c>
      <c r="B77" s="260" t="s">
        <v>38</v>
      </c>
      <c r="C77" s="261" t="s">
        <v>39</v>
      </c>
      <c r="D77" s="286" t="s">
        <v>38</v>
      </c>
      <c r="E77" s="287" t="s">
        <v>39</v>
      </c>
    </row>
    <row r="78" spans="1:12" x14ac:dyDescent="0.35">
      <c r="A78" s="136"/>
      <c r="B78" s="137"/>
      <c r="C78" s="138"/>
      <c r="D78" s="263"/>
      <c r="E78" s="264"/>
    </row>
    <row r="79" spans="1:12" x14ac:dyDescent="0.35">
      <c r="A79" s="265" t="s">
        <v>40</v>
      </c>
      <c r="B79" s="266">
        <f>78804+1925</f>
        <v>80729</v>
      </c>
      <c r="C79" s="266">
        <f>105070+1925</f>
        <v>106995</v>
      </c>
      <c r="D79" s="263">
        <f>SUM(B79/52.143/37)</f>
        <v>41.843869068999958</v>
      </c>
      <c r="E79" s="263">
        <f>SUM(C79/52.143/37)</f>
        <v>55.45819681945337</v>
      </c>
      <c r="F79" s="381"/>
    </row>
    <row r="80" spans="1:12" x14ac:dyDescent="0.35">
      <c r="A80" s="136"/>
      <c r="B80" s="266"/>
      <c r="C80" s="266"/>
      <c r="D80" s="263">
        <v>0</v>
      </c>
      <c r="E80" s="263">
        <v>0</v>
      </c>
      <c r="F80" s="381"/>
    </row>
    <row r="81" spans="1:6" x14ac:dyDescent="0.35">
      <c r="A81" s="260" t="s">
        <v>41</v>
      </c>
      <c r="B81" s="266">
        <f>72240+1925</f>
        <v>74165</v>
      </c>
      <c r="C81" s="266">
        <f>84056+1925</f>
        <v>85981</v>
      </c>
      <c r="D81" s="263">
        <f>SUM(B81/52.143/37)</f>
        <v>38.441582944200739</v>
      </c>
      <c r="E81" s="263">
        <f>SUM(C81/52.143/37)</f>
        <v>44.566112628939855</v>
      </c>
      <c r="F81" s="381"/>
    </row>
    <row r="82" spans="1:6" x14ac:dyDescent="0.35">
      <c r="A82" s="21"/>
      <c r="B82" s="266"/>
      <c r="C82" s="266"/>
      <c r="D82" s="263">
        <v>0</v>
      </c>
      <c r="E82" s="263">
        <v>0</v>
      </c>
      <c r="F82" s="381"/>
    </row>
    <row r="83" spans="1:6" x14ac:dyDescent="0.35">
      <c r="A83" s="260" t="s">
        <v>42</v>
      </c>
      <c r="B83" s="266">
        <f>64454+1925</f>
        <v>66379</v>
      </c>
      <c r="C83" s="266">
        <f>70563+1925</f>
        <v>72488</v>
      </c>
      <c r="D83" s="263">
        <f>SUM(B83/52.143/37)</f>
        <v>34.405903515851158</v>
      </c>
      <c r="E83" s="263">
        <f>SUM(C83/52.143/37)</f>
        <v>37.572351708477363</v>
      </c>
      <c r="F83" s="381"/>
    </row>
    <row r="84" spans="1:6" x14ac:dyDescent="0.35">
      <c r="A84" s="23"/>
      <c r="B84" s="266"/>
      <c r="C84" s="266"/>
      <c r="D84" s="263">
        <v>0</v>
      </c>
      <c r="E84" s="263">
        <v>0</v>
      </c>
      <c r="F84" s="381"/>
    </row>
    <row r="85" spans="1:6" x14ac:dyDescent="0.35">
      <c r="A85" s="260" t="s">
        <v>43</v>
      </c>
      <c r="B85" s="266">
        <f>57610+1925</f>
        <v>59535</v>
      </c>
      <c r="C85" s="266">
        <f>62906+1925</f>
        <v>64831</v>
      </c>
      <c r="D85" s="263">
        <f>SUM(B85/52.143/37)</f>
        <v>30.858486355868553</v>
      </c>
      <c r="E85" s="263">
        <f>SUM(C85/52.143/37)</f>
        <v>33.603536221337272</v>
      </c>
      <c r="F85" s="381"/>
    </row>
    <row r="86" spans="1:6" x14ac:dyDescent="0.35">
      <c r="A86" s="23"/>
      <c r="B86" s="266"/>
      <c r="C86" s="266"/>
      <c r="D86" s="263">
        <v>0</v>
      </c>
      <c r="E86" s="263">
        <v>0</v>
      </c>
      <c r="F86" s="381"/>
    </row>
    <row r="87" spans="1:6" x14ac:dyDescent="0.35">
      <c r="A87" s="260" t="s">
        <v>44</v>
      </c>
      <c r="B87" s="266">
        <f>51209+1925</f>
        <v>53134</v>
      </c>
      <c r="C87" s="266">
        <f>56001+1925</f>
        <v>57926</v>
      </c>
      <c r="D87" s="263">
        <f>SUM(B87/52.143/37)</f>
        <v>27.5406872265511</v>
      </c>
      <c r="E87" s="263">
        <f>SUM(C87/52.143/37)</f>
        <v>30.024501228689711</v>
      </c>
      <c r="F87" s="381"/>
    </row>
    <row r="88" spans="1:6" x14ac:dyDescent="0.35">
      <c r="A88" s="23"/>
      <c r="B88" s="266"/>
      <c r="C88" s="266"/>
      <c r="D88" s="263">
        <v>0</v>
      </c>
      <c r="E88" s="263">
        <v>0</v>
      </c>
      <c r="F88" s="381"/>
    </row>
    <row r="89" spans="1:6" x14ac:dyDescent="0.35">
      <c r="A89" s="260" t="s">
        <v>45</v>
      </c>
      <c r="B89" s="266">
        <f>46699+1925</f>
        <v>48624</v>
      </c>
      <c r="C89" s="266">
        <f>51038+1925</f>
        <v>52963</v>
      </c>
      <c r="D89" s="263">
        <f>SUM(B89/52.143/37)</f>
        <v>25.203040909847193</v>
      </c>
      <c r="E89" s="263">
        <f>SUM(C89/52.143/37)</f>
        <v>27.4520536300641</v>
      </c>
      <c r="F89" s="381"/>
    </row>
    <row r="90" spans="1:6" x14ac:dyDescent="0.35">
      <c r="A90" s="23"/>
      <c r="B90" s="266"/>
      <c r="C90" s="266"/>
      <c r="D90" s="263">
        <v>0</v>
      </c>
      <c r="E90" s="263">
        <v>0</v>
      </c>
      <c r="F90" s="381"/>
    </row>
    <row r="91" spans="1:6" x14ac:dyDescent="0.35">
      <c r="A91" s="262" t="s">
        <v>46</v>
      </c>
      <c r="B91" s="272">
        <f>42617+1925</f>
        <v>44542</v>
      </c>
      <c r="C91" s="273">
        <f>46548+1925</f>
        <v>48473</v>
      </c>
      <c r="D91" s="263">
        <f>SUM(B91/52.143/37)</f>
        <v>23.087237746923609</v>
      </c>
      <c r="E91" s="263">
        <f>SUM(C91/52.143/37)</f>
        <v>25.12477381587329</v>
      </c>
      <c r="F91" s="381"/>
    </row>
    <row r="92" spans="1:6" x14ac:dyDescent="0.35">
      <c r="A92" s="7"/>
      <c r="B92" s="7"/>
      <c r="C92" s="10"/>
      <c r="D92" s="10"/>
      <c r="E92" s="16"/>
      <c r="F92" s="241"/>
    </row>
  </sheetData>
  <mergeCells count="1">
    <mergeCell ref="E74:F7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0105F-3F82-47F1-9E7C-A6E6B3F524BA}">
  <dimension ref="A1:L92"/>
  <sheetViews>
    <sheetView topLeftCell="A36" workbookViewId="0">
      <selection activeCell="D15" sqref="D15"/>
    </sheetView>
  </sheetViews>
  <sheetFormatPr defaultColWidth="9.1796875" defaultRowHeight="14.5" x14ac:dyDescent="0.35"/>
  <cols>
    <col min="1" max="1" width="31.54296875" style="26" customWidth="1"/>
    <col min="2" max="2" width="21" style="26" customWidth="1"/>
    <col min="3" max="3" width="11.453125" style="26" customWidth="1"/>
    <col min="4" max="4" width="11.26953125" style="26" customWidth="1"/>
    <col min="5" max="5" width="11" style="26" customWidth="1"/>
    <col min="6" max="6" width="11.7265625" style="26" customWidth="1"/>
    <col min="7" max="7" width="11.1796875" style="26" customWidth="1"/>
    <col min="8" max="8" width="8.81640625" style="26" customWidth="1"/>
    <col min="9" max="9" width="10.453125" style="26" bestFit="1" customWidth="1"/>
    <col min="10" max="10" width="9.1796875" style="26"/>
    <col min="11" max="11" width="9.1796875" style="143"/>
    <col min="12" max="16384" width="9.1796875" style="26"/>
  </cols>
  <sheetData>
    <row r="1" spans="1:12" s="392" customFormat="1" ht="18" x14ac:dyDescent="0.4">
      <c r="A1" s="384"/>
      <c r="B1" s="385"/>
      <c r="C1" s="386"/>
      <c r="D1" s="387" t="s">
        <v>79</v>
      </c>
      <c r="E1" s="388"/>
      <c r="F1" s="385"/>
      <c r="G1" s="389" t="s">
        <v>81</v>
      </c>
      <c r="H1" s="390"/>
      <c r="I1" s="391"/>
      <c r="K1" s="393"/>
    </row>
    <row r="2" spans="1:12" x14ac:dyDescent="0.35">
      <c r="A2" s="1"/>
      <c r="B2" s="1"/>
      <c r="C2" s="6"/>
      <c r="D2" s="1"/>
      <c r="E2" s="27"/>
      <c r="F2" s="1"/>
      <c r="G2" s="1"/>
      <c r="H2" s="1"/>
      <c r="I2" s="28"/>
    </row>
    <row r="3" spans="1:12" ht="15" thickBot="1" x14ac:dyDescent="0.4">
      <c r="A3" s="1"/>
      <c r="B3" s="1"/>
      <c r="C3" s="398"/>
      <c r="D3" s="30"/>
      <c r="E3" s="31"/>
      <c r="F3" s="1"/>
      <c r="G3" s="1"/>
      <c r="H3" s="2"/>
      <c r="I3" s="30"/>
      <c r="J3" s="26" t="s">
        <v>84</v>
      </c>
    </row>
    <row r="4" spans="1:12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  <c r="J4" s="26" t="s">
        <v>83</v>
      </c>
    </row>
    <row r="5" spans="1:12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12" ht="15" thickBot="1" x14ac:dyDescent="0.4">
      <c r="A6" s="71"/>
      <c r="B6" s="341" t="s">
        <v>11</v>
      </c>
      <c r="C6" s="207" t="s">
        <v>85</v>
      </c>
      <c r="D6" s="207" t="s">
        <v>86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12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</row>
    <row r="8" spans="1:12" x14ac:dyDescent="0.35">
      <c r="A8" s="6"/>
      <c r="B8" s="361"/>
      <c r="C8" s="370"/>
      <c r="D8" s="371"/>
      <c r="E8" s="372"/>
      <c r="F8" s="372"/>
      <c r="G8" s="373"/>
      <c r="H8" s="374"/>
      <c r="I8" s="311"/>
      <c r="L8" s="200"/>
    </row>
    <row r="9" spans="1:12" ht="15" thickBot="1" x14ac:dyDescent="0.4">
      <c r="A9" s="6"/>
      <c r="B9" s="362">
        <v>2</v>
      </c>
      <c r="C9" s="375">
        <v>22366</v>
      </c>
      <c r="D9" s="376">
        <f>D11</f>
        <v>24043</v>
      </c>
      <c r="E9" s="377">
        <f>E11</f>
        <v>2003.5833333333333</v>
      </c>
      <c r="F9" s="377">
        <f>F11</f>
        <v>461.09736685652916</v>
      </c>
      <c r="G9" s="378">
        <f>G11</f>
        <v>12.462090996122409</v>
      </c>
      <c r="H9" s="379">
        <f>H11</f>
        <v>14.183105762686912</v>
      </c>
      <c r="I9" s="311"/>
      <c r="L9" s="200"/>
    </row>
    <row r="10" spans="1:12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311"/>
      <c r="L10" s="200"/>
    </row>
    <row r="11" spans="1:12" x14ac:dyDescent="0.35">
      <c r="A11" s="6"/>
      <c r="B11" s="342">
        <v>2</v>
      </c>
      <c r="C11" s="180">
        <f>C9</f>
        <v>22366</v>
      </c>
      <c r="D11" s="180">
        <f>ROUND((C11*1.075),0)</f>
        <v>24043</v>
      </c>
      <c r="E11" s="157">
        <f>D11/12</f>
        <v>2003.5833333333333</v>
      </c>
      <c r="F11" s="158">
        <f>SUM(D11/52.143)</f>
        <v>461.09736685652916</v>
      </c>
      <c r="G11" s="170">
        <f>SUM($D11/52.143)/37</f>
        <v>12.462090996122409</v>
      </c>
      <c r="H11" s="328">
        <f>SUM($D11/52.143)/37*1.1381</f>
        <v>14.183105762686912</v>
      </c>
      <c r="I11" s="311"/>
      <c r="L11" s="200"/>
    </row>
    <row r="12" spans="1:12" ht="15" thickBot="1" x14ac:dyDescent="0.4">
      <c r="A12" s="6"/>
      <c r="B12" s="343">
        <v>3</v>
      </c>
      <c r="C12" s="223">
        <v>22737</v>
      </c>
      <c r="D12" s="223">
        <f>ROUND((C12*1.075),0)</f>
        <v>24442</v>
      </c>
      <c r="E12" s="151">
        <f>D12/12</f>
        <v>2036.8333333333333</v>
      </c>
      <c r="F12" s="152">
        <f>SUM(D12/52.143)</f>
        <v>468.74940068657344</v>
      </c>
      <c r="G12" s="163">
        <f>SUM($D12/52.143)/37</f>
        <v>12.668902721258741</v>
      </c>
      <c r="H12" s="322">
        <f>SUM($D12/52.143)/37*1.1381</f>
        <v>14.418478187064572</v>
      </c>
      <c r="I12" s="311"/>
      <c r="L12" s="200"/>
    </row>
    <row r="13" spans="1:12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311"/>
      <c r="L13" s="200"/>
    </row>
    <row r="14" spans="1:12" x14ac:dyDescent="0.35">
      <c r="A14" s="6"/>
      <c r="B14" s="342">
        <v>3</v>
      </c>
      <c r="C14" s="180">
        <f t="shared" ref="C14:H14" si="0">C12</f>
        <v>22737</v>
      </c>
      <c r="D14" s="183">
        <f t="shared" si="0"/>
        <v>24442</v>
      </c>
      <c r="E14" s="285">
        <f t="shared" si="0"/>
        <v>2036.8333333333333</v>
      </c>
      <c r="F14" s="285">
        <f t="shared" si="0"/>
        <v>468.74940068657344</v>
      </c>
      <c r="G14" s="284">
        <f t="shared" si="0"/>
        <v>12.668902721258741</v>
      </c>
      <c r="H14" s="331">
        <f t="shared" si="0"/>
        <v>14.418478187064572</v>
      </c>
      <c r="I14" s="311"/>
      <c r="L14" s="200"/>
    </row>
    <row r="15" spans="1:12" ht="15" thickBot="1" x14ac:dyDescent="0.4">
      <c r="A15" s="6"/>
      <c r="B15" s="344">
        <v>4</v>
      </c>
      <c r="C15" s="182">
        <v>23114</v>
      </c>
      <c r="D15" s="178">
        <f>ROUND((C15*1.075),0)</f>
        <v>24848</v>
      </c>
      <c r="E15" s="159">
        <f>D15/12</f>
        <v>2070.6666666666665</v>
      </c>
      <c r="F15" s="160">
        <f>SUM(D15/52.143)</f>
        <v>476.53568072416238</v>
      </c>
      <c r="G15" s="172">
        <f>SUM($D15/52.143)/37</f>
        <v>12.879342722274659</v>
      </c>
      <c r="H15" s="333">
        <f>SUM($D15/52.143)/37*1.1381</f>
        <v>14.657979952220789</v>
      </c>
      <c r="I15" s="311"/>
      <c r="L15" s="200"/>
    </row>
    <row r="16" spans="1:12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311"/>
      <c r="L16" s="200"/>
    </row>
    <row r="17" spans="1:12" x14ac:dyDescent="0.35">
      <c r="A17" s="6"/>
      <c r="B17" s="342">
        <v>5</v>
      </c>
      <c r="C17" s="223">
        <v>23500</v>
      </c>
      <c r="D17" s="223">
        <f>ROUND((C17*1.075),0)</f>
        <v>25263</v>
      </c>
      <c r="E17" s="151">
        <f>D17/12</f>
        <v>2105.25</v>
      </c>
      <c r="F17" s="152">
        <f>SUM(D17/52.143)</f>
        <v>484.49456302859443</v>
      </c>
      <c r="G17" s="163">
        <f>SUM($D17/52.143)/37</f>
        <v>13.094447649421472</v>
      </c>
      <c r="H17" s="322">
        <f>SUM($D17/52.143)/37*1.1381</f>
        <v>14.902790869806577</v>
      </c>
      <c r="I17" s="311"/>
      <c r="L17" s="200"/>
    </row>
    <row r="18" spans="1:12" ht="15" thickBot="1" x14ac:dyDescent="0.4">
      <c r="A18" s="6"/>
      <c r="B18" s="344">
        <v>6</v>
      </c>
      <c r="C18" s="182">
        <v>23893</v>
      </c>
      <c r="D18" s="178">
        <f>ROUND((C18*1.075),0)</f>
        <v>25685</v>
      </c>
      <c r="E18" s="159">
        <f>D18/12</f>
        <v>2140.4166666666665</v>
      </c>
      <c r="F18" s="160">
        <f>SUM(D18/52.143)</f>
        <v>492.58769154057114</v>
      </c>
      <c r="G18" s="172">
        <f>SUM($D18/52.143)/37</f>
        <v>13.313180852447868</v>
      </c>
      <c r="H18" s="333">
        <f>SUM($D18/52.143)/37*1.1381</f>
        <v>15.151731128170917</v>
      </c>
      <c r="I18" s="311"/>
      <c r="L18" s="200"/>
    </row>
    <row r="19" spans="1:12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311"/>
      <c r="L19" s="200"/>
    </row>
    <row r="20" spans="1:12" x14ac:dyDescent="0.35">
      <c r="A20" s="6"/>
      <c r="B20" s="342">
        <v>7</v>
      </c>
      <c r="C20" s="180">
        <v>24294</v>
      </c>
      <c r="D20" s="180">
        <f>ROUND((C20*1.075),0)</f>
        <v>26116</v>
      </c>
      <c r="E20" s="157">
        <f>D20/12</f>
        <v>2176.3333333333335</v>
      </c>
      <c r="F20" s="158">
        <f>SUM(D20/52.143)</f>
        <v>500.85342231939092</v>
      </c>
      <c r="G20" s="170">
        <f>SUM($D20/52.143)/37</f>
        <v>13.53657898160516</v>
      </c>
      <c r="H20" s="328">
        <f>SUM($D20/52.143)/37*1.1381</f>
        <v>15.405980538964831</v>
      </c>
      <c r="I20" s="311"/>
      <c r="L20" s="200"/>
    </row>
    <row r="21" spans="1:12" x14ac:dyDescent="0.35">
      <c r="A21" s="6"/>
      <c r="B21" s="342">
        <v>8</v>
      </c>
      <c r="C21" s="175">
        <v>24702</v>
      </c>
      <c r="D21" s="175">
        <f>ROUND((C21*1.075),0)</f>
        <v>26555</v>
      </c>
      <c r="E21" s="149">
        <f>D21/12</f>
        <v>2212.9166666666665</v>
      </c>
      <c r="F21" s="150">
        <f>SUM(D21/52.143)</f>
        <v>509.27257733540455</v>
      </c>
      <c r="G21" s="161">
        <f>SUM($D21/52.143)/37</f>
        <v>13.76412371176769</v>
      </c>
      <c r="H21" s="329">
        <f>SUM($D21/52.143)/37*1.1381</f>
        <v>15.664949196362807</v>
      </c>
      <c r="I21" s="311"/>
      <c r="L21" s="200"/>
    </row>
    <row r="22" spans="1:12" x14ac:dyDescent="0.35">
      <c r="A22" s="6"/>
      <c r="B22" s="342">
        <v>9</v>
      </c>
      <c r="C22" s="175">
        <v>25119</v>
      </c>
      <c r="D22" s="175">
        <f>ROUND((C22*1.075),0)</f>
        <v>27003</v>
      </c>
      <c r="E22" s="149">
        <f>D22/12</f>
        <v>2250.25</v>
      </c>
      <c r="F22" s="150">
        <f>SUM(D22/52.143)</f>
        <v>517.8643346182613</v>
      </c>
      <c r="G22" s="161">
        <f>SUM($D22/52.143)/37</f>
        <v>13.996333368061116</v>
      </c>
      <c r="H22" s="329">
        <f>SUM($D22/52.143)/37*1.1381</f>
        <v>15.929227006190354</v>
      </c>
      <c r="I22" s="311"/>
      <c r="L22" s="200"/>
    </row>
    <row r="23" spans="1:12" x14ac:dyDescent="0.35">
      <c r="A23" s="6"/>
      <c r="B23" s="345">
        <v>10</v>
      </c>
      <c r="C23" s="223">
        <v>25545</v>
      </c>
      <c r="D23" s="223">
        <f>ROUND((C23*1.075),0)</f>
        <v>27461</v>
      </c>
      <c r="E23" s="151">
        <f>D23/12</f>
        <v>2288.4166666666665</v>
      </c>
      <c r="F23" s="152">
        <f>SUM(D23/52.143)</f>
        <v>526.64787219761035</v>
      </c>
      <c r="G23" s="163">
        <f>SUM($D23/52.143)/37</f>
        <v>14.23372627561109</v>
      </c>
      <c r="H23" s="322">
        <f>SUM($D23/52.143)/37*1.1381</f>
        <v>16.199403874272981</v>
      </c>
      <c r="I23" s="311"/>
      <c r="L23" s="200"/>
    </row>
    <row r="24" spans="1:12" ht="15" thickBot="1" x14ac:dyDescent="0.4">
      <c r="A24" s="6"/>
      <c r="B24" s="344">
        <v>11</v>
      </c>
      <c r="C24" s="182">
        <v>25979</v>
      </c>
      <c r="D24" s="178">
        <f>ROUND((C24*1.075),0)</f>
        <v>27927</v>
      </c>
      <c r="E24" s="159">
        <f>D24/12</f>
        <v>2327.25</v>
      </c>
      <c r="F24" s="160">
        <f>SUM(D24/52.143)</f>
        <v>535.58483401415333</v>
      </c>
      <c r="G24" s="172">
        <f>SUM($D24/52.143)/37</f>
        <v>14.475265784166305</v>
      </c>
      <c r="H24" s="333">
        <f>SUM($D24/52.143)/37*1.1381</f>
        <v>16.474299988959672</v>
      </c>
      <c r="I24" s="311"/>
      <c r="L24" s="200"/>
    </row>
    <row r="25" spans="1:12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311"/>
      <c r="L25" s="200"/>
    </row>
    <row r="26" spans="1:12" x14ac:dyDescent="0.35">
      <c r="A26" s="6"/>
      <c r="B26" s="342">
        <v>12</v>
      </c>
      <c r="C26" s="180">
        <v>26421</v>
      </c>
      <c r="D26" s="180">
        <f t="shared" ref="D26:D31" si="1">ROUND((C26*1.075),0)</f>
        <v>28403</v>
      </c>
      <c r="E26" s="157">
        <f t="shared" ref="E26:E31" si="2">D26/12</f>
        <v>2366.9166666666665</v>
      </c>
      <c r="F26" s="158">
        <f t="shared" ref="F26:F31" si="3">SUM(D26/52.143)</f>
        <v>544.71357612718873</v>
      </c>
      <c r="G26" s="170">
        <f t="shared" ref="G26:G31" si="4">SUM($D26/52.143)/37</f>
        <v>14.721988543978075</v>
      </c>
      <c r="H26" s="328">
        <f t="shared" ref="H26:H31" si="5">SUM($D26/52.143)/37*1.1381</f>
        <v>16.755095161901444</v>
      </c>
      <c r="I26" s="311"/>
      <c r="L26" s="200"/>
    </row>
    <row r="27" spans="1:12" x14ac:dyDescent="0.35">
      <c r="A27" s="6"/>
      <c r="B27" s="342">
        <v>13</v>
      </c>
      <c r="C27" s="175">
        <v>26873</v>
      </c>
      <c r="D27" s="175">
        <f t="shared" si="1"/>
        <v>28888</v>
      </c>
      <c r="E27" s="149">
        <f t="shared" si="2"/>
        <v>2407.3333333333335</v>
      </c>
      <c r="F27" s="150">
        <f t="shared" si="3"/>
        <v>554.01492050706713</v>
      </c>
      <c r="G27" s="161">
        <f t="shared" si="4"/>
        <v>14.973376229920733</v>
      </c>
      <c r="H27" s="329">
        <f t="shared" si="5"/>
        <v>17.041199487272785</v>
      </c>
      <c r="I27" s="311"/>
      <c r="L27" s="200"/>
    </row>
    <row r="28" spans="1:12" x14ac:dyDescent="0.35">
      <c r="A28" s="6"/>
      <c r="B28" s="342">
        <v>14</v>
      </c>
      <c r="C28" s="175">
        <v>27334</v>
      </c>
      <c r="D28" s="175">
        <f t="shared" si="1"/>
        <v>29384</v>
      </c>
      <c r="E28" s="149">
        <f t="shared" si="2"/>
        <v>2448.6666666666665</v>
      </c>
      <c r="F28" s="150">
        <f t="shared" si="3"/>
        <v>563.52722321308704</v>
      </c>
      <c r="G28" s="161">
        <f t="shared" si="4"/>
        <v>15.230465492245596</v>
      </c>
      <c r="H28" s="329">
        <f t="shared" si="5"/>
        <v>17.33379277672471</v>
      </c>
      <c r="I28" s="311"/>
      <c r="L28" s="200"/>
    </row>
    <row r="29" spans="1:12" x14ac:dyDescent="0.35">
      <c r="A29" s="6"/>
      <c r="B29" s="342">
        <v>15</v>
      </c>
      <c r="C29" s="175">
        <v>27803</v>
      </c>
      <c r="D29" s="175">
        <f t="shared" si="1"/>
        <v>29888</v>
      </c>
      <c r="E29" s="149">
        <f t="shared" si="2"/>
        <v>2490.6666666666665</v>
      </c>
      <c r="F29" s="150">
        <f t="shared" si="3"/>
        <v>573.19295015630098</v>
      </c>
      <c r="G29" s="161">
        <f t="shared" si="4"/>
        <v>15.491701355575703</v>
      </c>
      <c r="H29" s="329">
        <f t="shared" si="5"/>
        <v>17.631105312780704</v>
      </c>
      <c r="I29" s="311"/>
      <c r="L29" s="200"/>
    </row>
    <row r="30" spans="1:12" x14ac:dyDescent="0.35">
      <c r="A30" s="6"/>
      <c r="B30" s="342">
        <v>16</v>
      </c>
      <c r="C30" s="223">
        <v>28282</v>
      </c>
      <c r="D30" s="223">
        <f t="shared" si="1"/>
        <v>30403</v>
      </c>
      <c r="E30" s="151">
        <f t="shared" si="2"/>
        <v>2533.5833333333335</v>
      </c>
      <c r="F30" s="152">
        <f t="shared" si="3"/>
        <v>583.06963542565632</v>
      </c>
      <c r="G30" s="163">
        <f t="shared" si="4"/>
        <v>15.758638795288009</v>
      </c>
      <c r="H30" s="322">
        <f t="shared" si="5"/>
        <v>17.93490681291728</v>
      </c>
      <c r="I30" s="311"/>
      <c r="L30" s="200"/>
    </row>
    <row r="31" spans="1:12" ht="15" thickBot="1" x14ac:dyDescent="0.4">
      <c r="A31" s="6"/>
      <c r="B31" s="345">
        <v>17</v>
      </c>
      <c r="C31" s="182">
        <v>28770</v>
      </c>
      <c r="D31" s="182">
        <f t="shared" si="1"/>
        <v>30928</v>
      </c>
      <c r="E31" s="159">
        <f t="shared" si="2"/>
        <v>2577.3333333333335</v>
      </c>
      <c r="F31" s="160">
        <f t="shared" si="3"/>
        <v>593.13810099150407</v>
      </c>
      <c r="G31" s="172">
        <f t="shared" si="4"/>
        <v>16.030759486256866</v>
      </c>
      <c r="H31" s="333">
        <f t="shared" si="5"/>
        <v>18.244607371308938</v>
      </c>
      <c r="I31" s="311"/>
      <c r="L31" s="200"/>
    </row>
    <row r="32" spans="1:12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311"/>
      <c r="L32" s="200"/>
    </row>
    <row r="33" spans="1:12" s="1" customFormat="1" ht="15.75" customHeight="1" x14ac:dyDescent="0.35">
      <c r="B33" s="346">
        <v>18</v>
      </c>
      <c r="C33" s="339">
        <v>29269</v>
      </c>
      <c r="D33" s="296">
        <f>ROUND((C33*1.075),0)</f>
        <v>31464</v>
      </c>
      <c r="E33" s="297">
        <f>D33/12</f>
        <v>2622</v>
      </c>
      <c r="F33" s="297">
        <f>SUM(D33/52.143)</f>
        <v>603.41752488349346</v>
      </c>
      <c r="G33" s="298">
        <f>SUM($D33/52.143)/37</f>
        <v>16.308581753607932</v>
      </c>
      <c r="H33" s="336">
        <f>SUM($D33/52.143)/37*1.1381</f>
        <v>18.560796893781184</v>
      </c>
      <c r="I33" s="311"/>
      <c r="K33" s="380"/>
      <c r="L33" s="200"/>
    </row>
    <row r="34" spans="1:12" x14ac:dyDescent="0.35">
      <c r="A34" s="6"/>
      <c r="B34" s="342">
        <v>19</v>
      </c>
      <c r="C34" s="180">
        <v>29777</v>
      </c>
      <c r="D34" s="180">
        <f>ROUND((C34*1.075),0)</f>
        <v>32010</v>
      </c>
      <c r="E34" s="157">
        <f>D34/12</f>
        <v>2667.5</v>
      </c>
      <c r="F34" s="158">
        <f>SUM(D34/52.143)</f>
        <v>613.88872907197515</v>
      </c>
      <c r="G34" s="170">
        <f>SUM($D34/52.143)/37</f>
        <v>16.591587272215545</v>
      </c>
      <c r="H34" s="328">
        <f>SUM($D34/52.143)/37*1.1381</f>
        <v>18.882885474508509</v>
      </c>
      <c r="I34" s="311"/>
      <c r="L34" s="200"/>
    </row>
    <row r="35" spans="1:12" x14ac:dyDescent="0.35">
      <c r="A35" s="6"/>
      <c r="B35" s="342">
        <v>20</v>
      </c>
      <c r="C35" s="175">
        <v>30296</v>
      </c>
      <c r="D35" s="175">
        <f>ROUND((C35*1.075),0)</f>
        <v>32568</v>
      </c>
      <c r="E35" s="149">
        <f>D35/12</f>
        <v>2714</v>
      </c>
      <c r="F35" s="150">
        <f>SUM(D35/52.143)</f>
        <v>624.59006961624766</v>
      </c>
      <c r="G35" s="161">
        <f>SUM($D35/52.143)/37</f>
        <v>16.880812692331016</v>
      </c>
      <c r="H35" s="329">
        <f>SUM($D35/52.143)/37*1.1381</f>
        <v>19.212052925141929</v>
      </c>
      <c r="I35" s="311"/>
      <c r="L35" s="200"/>
    </row>
    <row r="36" spans="1:12" x14ac:dyDescent="0.35">
      <c r="A36" s="6"/>
      <c r="B36" s="345">
        <v>21</v>
      </c>
      <c r="C36" s="223">
        <v>30825</v>
      </c>
      <c r="D36" s="223">
        <f>ROUND((C36*1.075),0)</f>
        <v>33137</v>
      </c>
      <c r="E36" s="151">
        <f>D36/12</f>
        <v>2761.4166666666665</v>
      </c>
      <c r="F36" s="152">
        <f>SUM(D36/52.143)</f>
        <v>635.50236848666168</v>
      </c>
      <c r="G36" s="163">
        <f>SUM($D36/52.143)/37</f>
        <v>17.175739688828696</v>
      </c>
      <c r="H36" s="322">
        <f>SUM($D36/52.143)/37*1.1381</f>
        <v>19.547709339855935</v>
      </c>
      <c r="I36" s="311"/>
      <c r="L36" s="200"/>
    </row>
    <row r="37" spans="1:12" ht="15" thickBot="1" x14ac:dyDescent="0.4">
      <c r="A37" s="6"/>
      <c r="B37" s="344">
        <v>22</v>
      </c>
      <c r="C37" s="182">
        <v>31364</v>
      </c>
      <c r="D37" s="182">
        <f>ROUND((C37*1.075),0)</f>
        <v>33716</v>
      </c>
      <c r="E37" s="159">
        <f>D37/12</f>
        <v>2809.6666666666665</v>
      </c>
      <c r="F37" s="160">
        <f>SUM(D37/52.143)</f>
        <v>646.60644765356801</v>
      </c>
      <c r="G37" s="172">
        <f>SUM($D37/52.143)/37</f>
        <v>17.475849936582918</v>
      </c>
      <c r="H37" s="333">
        <f>SUM($D37/52.143)/37*1.1381</f>
        <v>19.889264812825019</v>
      </c>
      <c r="I37" s="311"/>
      <c r="L37" s="200"/>
    </row>
    <row r="38" spans="1:12" ht="15" thickBot="1" x14ac:dyDescent="0.4">
      <c r="A38" s="6"/>
      <c r="B38" s="345"/>
      <c r="C38" s="64"/>
      <c r="D38" s="64"/>
      <c r="E38" s="65"/>
      <c r="F38" s="65"/>
      <c r="G38" s="65"/>
      <c r="H38" s="66"/>
      <c r="I38" s="311"/>
      <c r="L38" s="200"/>
    </row>
    <row r="39" spans="1:12" x14ac:dyDescent="0.35">
      <c r="B39" s="360" t="s">
        <v>22</v>
      </c>
      <c r="C39" s="347"/>
      <c r="D39" s="348" t="s">
        <v>20</v>
      </c>
      <c r="E39" s="349" t="s">
        <v>49</v>
      </c>
      <c r="F39" s="350"/>
      <c r="G39" s="351" t="s">
        <v>21</v>
      </c>
      <c r="H39" s="352" t="s">
        <v>48</v>
      </c>
      <c r="I39" s="311"/>
      <c r="L39" s="200"/>
    </row>
    <row r="40" spans="1:12" ht="15" thickBot="1" x14ac:dyDescent="0.4">
      <c r="A40" s="1"/>
      <c r="B40" s="394">
        <v>8</v>
      </c>
      <c r="C40" s="395">
        <v>24702</v>
      </c>
      <c r="D40" s="354">
        <v>689</v>
      </c>
      <c r="E40" s="396">
        <f>C40+D40</f>
        <v>25391</v>
      </c>
      <c r="F40" s="356"/>
      <c r="G40" s="357">
        <f>SUM(C40+D40)/37/52.143</f>
        <v>13.160793265505307</v>
      </c>
      <c r="H40" s="358">
        <f>E40/52.143/37*1.1381</f>
        <v>14.978298815471588</v>
      </c>
      <c r="I40" s="311"/>
      <c r="J40" s="311"/>
      <c r="K40" s="311"/>
      <c r="L40" s="311"/>
    </row>
    <row r="41" spans="1:12" x14ac:dyDescent="0.35">
      <c r="A41" s="1"/>
      <c r="B41" s="70" t="s">
        <v>87</v>
      </c>
      <c r="C41" s="5"/>
      <c r="D41" s="1"/>
      <c r="E41" s="1"/>
      <c r="F41" s="1"/>
      <c r="G41" s="1"/>
      <c r="H41" s="4"/>
      <c r="I41" s="1"/>
    </row>
    <row r="42" spans="1:12" x14ac:dyDescent="0.35">
      <c r="A42" s="70" t="s">
        <v>47</v>
      </c>
      <c r="C42" s="71"/>
      <c r="D42" s="72"/>
      <c r="E42" s="73"/>
      <c r="F42" s="74"/>
      <c r="G42" s="74"/>
      <c r="H42" s="75"/>
      <c r="I42" s="2"/>
    </row>
    <row r="43" spans="1:12" x14ac:dyDescent="0.35">
      <c r="A43" s="76"/>
      <c r="B43" s="76"/>
      <c r="C43" s="71"/>
      <c r="D43" s="74"/>
      <c r="E43" s="73"/>
      <c r="F43" s="74"/>
      <c r="G43" s="74"/>
      <c r="H43" s="75"/>
      <c r="I43" s="1"/>
    </row>
    <row r="44" spans="1:12" x14ac:dyDescent="0.35">
      <c r="A44" s="77" t="s">
        <v>60</v>
      </c>
      <c r="C44" s="6"/>
      <c r="D44" s="75"/>
      <c r="E44" s="29"/>
      <c r="F44" s="75"/>
      <c r="G44" s="75"/>
      <c r="H44" s="75"/>
      <c r="I44" s="1"/>
    </row>
    <row r="45" spans="1:12" x14ac:dyDescent="0.35">
      <c r="A45" s="1"/>
      <c r="B45" s="1"/>
      <c r="C45" s="6"/>
      <c r="D45" s="75"/>
      <c r="E45" s="78"/>
      <c r="F45" s="29"/>
      <c r="G45" s="29"/>
      <c r="H45" s="29"/>
      <c r="I45" s="1"/>
    </row>
    <row r="46" spans="1:12" x14ac:dyDescent="0.35">
      <c r="A46" s="224" t="s">
        <v>24</v>
      </c>
      <c r="B46" s="235" t="s">
        <v>25</v>
      </c>
      <c r="C46" s="236"/>
      <c r="D46" s="237" t="s">
        <v>26</v>
      </c>
      <c r="F46" s="29"/>
      <c r="G46" s="29"/>
      <c r="H46" s="29"/>
      <c r="I46" s="1"/>
    </row>
    <row r="47" spans="1:12" x14ac:dyDescent="0.35">
      <c r="A47" s="221"/>
      <c r="B47" s="238"/>
      <c r="C47" s="239"/>
      <c r="D47" s="240" t="s">
        <v>27</v>
      </c>
      <c r="F47" s="29"/>
      <c r="G47" s="29"/>
      <c r="H47" s="29"/>
      <c r="I47" s="1"/>
    </row>
    <row r="48" spans="1:12" x14ac:dyDescent="0.35">
      <c r="A48" s="1"/>
      <c r="B48" s="6"/>
      <c r="C48" s="75"/>
      <c r="D48" s="87"/>
      <c r="F48" s="29"/>
      <c r="G48" s="29"/>
      <c r="H48" s="29"/>
      <c r="I48" s="1"/>
    </row>
    <row r="49" spans="1:12" x14ac:dyDescent="0.35">
      <c r="A49" s="214" t="s">
        <v>28</v>
      </c>
      <c r="B49" s="89" t="s">
        <v>29</v>
      </c>
      <c r="C49" s="90">
        <v>10000</v>
      </c>
      <c r="D49" s="91">
        <v>45</v>
      </c>
      <c r="F49" s="29"/>
      <c r="G49" s="29"/>
      <c r="H49" s="29"/>
      <c r="I49" s="1"/>
    </row>
    <row r="50" spans="1:12" x14ac:dyDescent="0.35">
      <c r="A50" s="1"/>
      <c r="B50" s="92" t="s">
        <v>30</v>
      </c>
      <c r="C50" s="90">
        <v>10000</v>
      </c>
      <c r="D50" s="93">
        <v>25</v>
      </c>
      <c r="F50" s="29"/>
      <c r="G50" s="29"/>
      <c r="H50" s="29"/>
      <c r="I50" s="1"/>
    </row>
    <row r="51" spans="1:12" x14ac:dyDescent="0.35">
      <c r="A51" s="1"/>
      <c r="B51" s="1"/>
      <c r="C51" s="6"/>
      <c r="D51" s="1"/>
      <c r="E51" s="78"/>
      <c r="F51" s="29"/>
      <c r="G51" s="29"/>
      <c r="H51" s="29"/>
      <c r="I51" s="2"/>
    </row>
    <row r="52" spans="1:12" x14ac:dyDescent="0.35">
      <c r="A52" s="7"/>
      <c r="B52" s="7"/>
      <c r="C52" s="7"/>
      <c r="D52" s="10"/>
      <c r="E52" s="16"/>
      <c r="F52" s="241"/>
      <c r="G52" s="10"/>
      <c r="H52" s="242"/>
      <c r="I52" s="7"/>
    </row>
    <row r="53" spans="1:12" x14ac:dyDescent="0.35">
      <c r="A53" s="301" t="s">
        <v>31</v>
      </c>
      <c r="B53" s="116" t="s">
        <v>82</v>
      </c>
      <c r="C53" s="74"/>
      <c r="D53" s="300"/>
      <c r="E53" s="245"/>
      <c r="G53" s="7" t="s">
        <v>32</v>
      </c>
    </row>
    <row r="54" spans="1:12" x14ac:dyDescent="0.35">
      <c r="A54" s="1"/>
      <c r="B54" s="101"/>
      <c r="C54" s="75"/>
      <c r="D54" s="246"/>
      <c r="E54" s="245"/>
      <c r="F54" s="75"/>
      <c r="G54" s="247"/>
      <c r="H54" s="7"/>
    </row>
    <row r="55" spans="1:12" x14ac:dyDescent="0.35">
      <c r="A55" s="202" t="s">
        <v>33</v>
      </c>
      <c r="B55" s="203" t="s">
        <v>8</v>
      </c>
      <c r="C55" s="203" t="s">
        <v>4</v>
      </c>
      <c r="D55" s="203" t="s">
        <v>5</v>
      </c>
      <c r="E55" s="204" t="s">
        <v>6</v>
      </c>
      <c r="F55" s="205" t="s">
        <v>7</v>
      </c>
      <c r="G55" s="12"/>
    </row>
    <row r="56" spans="1:12" x14ac:dyDescent="0.35">
      <c r="A56" s="211"/>
      <c r="B56" s="212" t="s">
        <v>11</v>
      </c>
      <c r="C56" s="212" t="s">
        <v>9</v>
      </c>
      <c r="D56" s="302" t="s">
        <v>9</v>
      </c>
      <c r="E56" s="303" t="s">
        <v>9</v>
      </c>
      <c r="F56" s="304" t="s">
        <v>10</v>
      </c>
      <c r="G56" s="13" t="s">
        <v>34</v>
      </c>
      <c r="I56" s="397"/>
    </row>
    <row r="57" spans="1:12" x14ac:dyDescent="0.35">
      <c r="A57" s="1"/>
      <c r="B57" s="6"/>
      <c r="C57" s="14" t="s">
        <v>14</v>
      </c>
      <c r="D57" s="14" t="s">
        <v>14</v>
      </c>
      <c r="E57" s="14" t="s">
        <v>14</v>
      </c>
      <c r="F57" s="305" t="s">
        <v>14</v>
      </c>
      <c r="G57" s="306" t="s">
        <v>14</v>
      </c>
      <c r="I57" s="397"/>
    </row>
    <row r="58" spans="1:12" x14ac:dyDescent="0.35">
      <c r="A58" s="249">
        <v>8</v>
      </c>
      <c r="B58" s="109">
        <v>1</v>
      </c>
      <c r="C58" s="175">
        <v>35838</v>
      </c>
      <c r="D58" s="148">
        <f>C58/12</f>
        <v>2986.5</v>
      </c>
      <c r="E58" s="149">
        <f>SUM(C58/52.143)</f>
        <v>687.30222656924229</v>
      </c>
      <c r="F58" s="174">
        <f>SUM(C58/52.143)/37</f>
        <v>18.575735853222763</v>
      </c>
      <c r="G58" s="234">
        <f t="shared" ref="G58:G67" si="6">SUM(C58*113.81%)</f>
        <v>40787.227800000001</v>
      </c>
      <c r="I58" s="397"/>
      <c r="J58" s="200"/>
      <c r="L58" s="200"/>
    </row>
    <row r="59" spans="1:12" x14ac:dyDescent="0.35">
      <c r="A59" s="110"/>
      <c r="B59" s="111">
        <v>2</v>
      </c>
      <c r="C59" s="175">
        <v>36700</v>
      </c>
      <c r="D59" s="148">
        <f t="shared" ref="D59:D66" si="7">C59/12</f>
        <v>3058.3333333333335</v>
      </c>
      <c r="E59" s="149">
        <f t="shared" ref="E59:E67" si="8">SUM(C59/52.143)</f>
        <v>703.83368812688184</v>
      </c>
      <c r="F59" s="174">
        <f t="shared" ref="F59:F67" si="9">SUM(C59/52.143)/37</f>
        <v>19.022532111537348</v>
      </c>
      <c r="G59" s="234">
        <f t="shared" si="6"/>
        <v>41768.270000000004</v>
      </c>
      <c r="I59" s="397"/>
      <c r="J59" s="200"/>
      <c r="L59" s="200"/>
    </row>
    <row r="60" spans="1:12" x14ac:dyDescent="0.35">
      <c r="A60" s="110"/>
      <c r="B60" s="111">
        <v>3</v>
      </c>
      <c r="C60" s="175">
        <v>37555</v>
      </c>
      <c r="D60" s="148">
        <f t="shared" si="7"/>
        <v>3129.5833333333335</v>
      </c>
      <c r="E60" s="149">
        <f t="shared" si="8"/>
        <v>720.23090347697678</v>
      </c>
      <c r="F60" s="174">
        <f t="shared" si="9"/>
        <v>19.465700093972345</v>
      </c>
      <c r="G60" s="234">
        <f t="shared" si="6"/>
        <v>42741.345500000003</v>
      </c>
      <c r="I60" s="397"/>
      <c r="J60" s="200"/>
      <c r="L60" s="200"/>
    </row>
    <row r="61" spans="1:12" x14ac:dyDescent="0.35">
      <c r="A61" s="110"/>
      <c r="B61" s="111">
        <v>4</v>
      </c>
      <c r="C61" s="175">
        <v>38553</v>
      </c>
      <c r="D61" s="148">
        <f t="shared" si="7"/>
        <v>3212.75</v>
      </c>
      <c r="E61" s="149">
        <f t="shared" si="8"/>
        <v>739.37057706691212</v>
      </c>
      <c r="F61" s="174">
        <f t="shared" si="9"/>
        <v>19.982988569376005</v>
      </c>
      <c r="G61" s="234">
        <f t="shared" si="6"/>
        <v>43877.169300000001</v>
      </c>
      <c r="I61" s="397"/>
      <c r="J61" s="200"/>
      <c r="L61" s="200"/>
    </row>
    <row r="62" spans="1:12" x14ac:dyDescent="0.35">
      <c r="A62" s="110"/>
      <c r="B62" s="111">
        <v>5</v>
      </c>
      <c r="C62" s="175">
        <v>39555</v>
      </c>
      <c r="D62" s="148">
        <f t="shared" si="7"/>
        <v>3296.25</v>
      </c>
      <c r="E62" s="149">
        <f t="shared" si="8"/>
        <v>758.58696277544448</v>
      </c>
      <c r="F62" s="174">
        <f t="shared" si="9"/>
        <v>20.502350345282284</v>
      </c>
      <c r="G62" s="234">
        <f t="shared" si="6"/>
        <v>45017.545500000007</v>
      </c>
      <c r="I62" s="397"/>
      <c r="J62" s="200"/>
      <c r="L62" s="200"/>
    </row>
    <row r="63" spans="1:12" x14ac:dyDescent="0.35">
      <c r="A63" s="249">
        <v>7</v>
      </c>
      <c r="B63" s="109">
        <v>1</v>
      </c>
      <c r="C63" s="175">
        <v>40267</v>
      </c>
      <c r="D63" s="148">
        <f t="shared" si="7"/>
        <v>3355.5833333333335</v>
      </c>
      <c r="E63" s="149">
        <f t="shared" si="8"/>
        <v>772.2417198856989</v>
      </c>
      <c r="F63" s="174">
        <f t="shared" si="9"/>
        <v>20.87139783474862</v>
      </c>
      <c r="G63" s="234">
        <f t="shared" si="6"/>
        <v>45827.872700000007</v>
      </c>
      <c r="I63" s="397"/>
      <c r="J63" s="200"/>
      <c r="L63" s="200"/>
    </row>
    <row r="64" spans="1:12" x14ac:dyDescent="0.35">
      <c r="A64" s="110"/>
      <c r="B64" s="111">
        <v>2</v>
      </c>
      <c r="C64" s="175">
        <v>41268</v>
      </c>
      <c r="D64" s="148">
        <f t="shared" si="7"/>
        <v>3439</v>
      </c>
      <c r="E64" s="149">
        <f t="shared" si="8"/>
        <v>791.43892756458206</v>
      </c>
      <c r="F64" s="174">
        <f t="shared" si="9"/>
        <v>21.390241285529246</v>
      </c>
      <c r="G64" s="234">
        <f t="shared" si="6"/>
        <v>46967.110800000002</v>
      </c>
      <c r="I64" s="397"/>
      <c r="J64" s="200"/>
      <c r="L64" s="200"/>
    </row>
    <row r="65" spans="1:12" x14ac:dyDescent="0.35">
      <c r="A65" s="110"/>
      <c r="B65" s="111">
        <v>3</v>
      </c>
      <c r="C65" s="175">
        <v>42268</v>
      </c>
      <c r="D65" s="148">
        <f t="shared" si="7"/>
        <v>3522.3333333333335</v>
      </c>
      <c r="E65" s="149">
        <f t="shared" si="8"/>
        <v>810.61695721381579</v>
      </c>
      <c r="F65" s="174">
        <f t="shared" si="9"/>
        <v>21.908566411184211</v>
      </c>
      <c r="G65" s="234">
        <f t="shared" si="6"/>
        <v>48105.210800000008</v>
      </c>
      <c r="I65" s="397"/>
      <c r="J65" s="200"/>
      <c r="L65" s="200"/>
    </row>
    <row r="66" spans="1:12" x14ac:dyDescent="0.35">
      <c r="A66" s="110"/>
      <c r="B66" s="111">
        <v>4</v>
      </c>
      <c r="C66" s="175">
        <v>43267</v>
      </c>
      <c r="D66" s="148">
        <f t="shared" si="7"/>
        <v>3605.5833333333335</v>
      </c>
      <c r="E66" s="149">
        <f t="shared" si="8"/>
        <v>829.77580883340045</v>
      </c>
      <c r="F66" s="174">
        <f t="shared" si="9"/>
        <v>22.426373211713525</v>
      </c>
      <c r="G66" s="234">
        <f t="shared" si="6"/>
        <v>49242.172700000003</v>
      </c>
      <c r="I66" s="397"/>
      <c r="J66" s="200"/>
      <c r="L66" s="200"/>
    </row>
    <row r="67" spans="1:12" x14ac:dyDescent="0.35">
      <c r="A67" s="110"/>
      <c r="B67" s="111">
        <v>5</v>
      </c>
      <c r="C67" s="175">
        <v>44232</v>
      </c>
      <c r="D67" s="148">
        <f>C67/12</f>
        <v>3686</v>
      </c>
      <c r="E67" s="149">
        <f t="shared" si="8"/>
        <v>848.28260744491115</v>
      </c>
      <c r="F67" s="174">
        <f t="shared" si="9"/>
        <v>22.926556957970572</v>
      </c>
      <c r="G67" s="234">
        <f t="shared" si="6"/>
        <v>50340.439200000008</v>
      </c>
      <c r="I67" s="397"/>
      <c r="J67" s="200"/>
      <c r="L67" s="200"/>
    </row>
    <row r="68" spans="1:12" x14ac:dyDescent="0.35">
      <c r="A68" s="1"/>
      <c r="B68" s="6"/>
      <c r="C68" s="112"/>
      <c r="D68" s="58"/>
      <c r="E68" s="58"/>
      <c r="F68" s="66"/>
      <c r="G68" s="248"/>
      <c r="H68" s="7"/>
    </row>
    <row r="69" spans="1:12" x14ac:dyDescent="0.35">
      <c r="A69" s="253"/>
      <c r="B69" s="253"/>
      <c r="C69" s="6"/>
      <c r="D69" s="67"/>
      <c r="E69" s="254"/>
      <c r="F69" s="255"/>
      <c r="G69" s="66"/>
      <c r="H69" s="248"/>
      <c r="I69" s="7"/>
    </row>
    <row r="70" spans="1:12" x14ac:dyDescent="0.35">
      <c r="A70" s="7"/>
      <c r="B70" s="7"/>
      <c r="C70" s="116"/>
      <c r="D70" s="117"/>
      <c r="E70" s="16"/>
      <c r="F70" s="256"/>
      <c r="G70" s="257"/>
      <c r="H70" s="242"/>
      <c r="I70" s="7"/>
    </row>
    <row r="73" spans="1:12" x14ac:dyDescent="0.35">
      <c r="A73" s="125" t="s">
        <v>35</v>
      </c>
      <c r="B73" s="116" t="s">
        <v>82</v>
      </c>
      <c r="C73" s="126"/>
      <c r="D73" s="127"/>
    </row>
    <row r="74" spans="1:12" x14ac:dyDescent="0.35">
      <c r="A74" s="125"/>
      <c r="B74" s="125"/>
      <c r="C74" s="126"/>
      <c r="D74" s="127"/>
      <c r="E74" s="421"/>
      <c r="F74" s="421"/>
    </row>
    <row r="75" spans="1:12" x14ac:dyDescent="0.35">
      <c r="A75" s="129" t="s">
        <v>36</v>
      </c>
      <c r="B75" s="7"/>
      <c r="D75" s="127"/>
      <c r="E75" s="421"/>
      <c r="F75" s="421"/>
    </row>
    <row r="76" spans="1:12" ht="26.5" x14ac:dyDescent="0.35">
      <c r="A76" s="7"/>
      <c r="B76" s="7"/>
      <c r="C76" s="117"/>
      <c r="D76" s="288" t="s">
        <v>37</v>
      </c>
      <c r="E76" s="288" t="s">
        <v>37</v>
      </c>
    </row>
    <row r="77" spans="1:12" x14ac:dyDescent="0.35">
      <c r="A77" s="260" t="s">
        <v>33</v>
      </c>
      <c r="B77" s="260" t="s">
        <v>38</v>
      </c>
      <c r="C77" s="261" t="s">
        <v>39</v>
      </c>
      <c r="D77" s="286" t="s">
        <v>38</v>
      </c>
      <c r="E77" s="287" t="s">
        <v>39</v>
      </c>
    </row>
    <row r="78" spans="1:12" x14ac:dyDescent="0.35">
      <c r="A78" s="136"/>
      <c r="B78" s="137"/>
      <c r="C78" s="138"/>
      <c r="D78" s="263"/>
      <c r="E78" s="264"/>
    </row>
    <row r="79" spans="1:12" x14ac:dyDescent="0.35">
      <c r="A79" s="265" t="s">
        <v>40</v>
      </c>
      <c r="B79" s="266">
        <v>83861</v>
      </c>
      <c r="C79" s="266">
        <v>111146</v>
      </c>
      <c r="D79" s="263">
        <f>SUM(B79/52.143/37)</f>
        <v>43.467263362551321</v>
      </c>
      <c r="E79" s="263">
        <f>SUM(C79/52.143/37)</f>
        <v>57.609764416047135</v>
      </c>
      <c r="F79" s="381"/>
      <c r="G79" s="399"/>
    </row>
    <row r="80" spans="1:12" x14ac:dyDescent="0.35">
      <c r="A80" s="136"/>
      <c r="B80" s="266"/>
      <c r="C80" s="266"/>
      <c r="D80" s="263">
        <v>0</v>
      </c>
      <c r="E80" s="263">
        <v>0</v>
      </c>
      <c r="F80" s="381"/>
    </row>
    <row r="81" spans="1:7" x14ac:dyDescent="0.35">
      <c r="A81" s="260" t="s">
        <v>41</v>
      </c>
      <c r="B81" s="266">
        <v>77043</v>
      </c>
      <c r="C81" s="266">
        <v>89317</v>
      </c>
      <c r="D81" s="263">
        <f>SUM(B81/52.143/37)</f>
        <v>39.933322655835738</v>
      </c>
      <c r="E81" s="263">
        <f>SUM(C81/52.143/37)</f>
        <v>46.295245248124829</v>
      </c>
      <c r="F81" s="381"/>
      <c r="G81" s="399"/>
    </row>
    <row r="82" spans="1:7" x14ac:dyDescent="0.35">
      <c r="A82" s="21"/>
      <c r="B82" s="266"/>
      <c r="C82" s="266"/>
      <c r="D82" s="263">
        <v>0</v>
      </c>
      <c r="E82" s="263">
        <v>0</v>
      </c>
      <c r="F82" s="381"/>
    </row>
    <row r="83" spans="1:7" x14ac:dyDescent="0.35">
      <c r="A83" s="260" t="s">
        <v>42</v>
      </c>
      <c r="B83" s="266">
        <v>68955</v>
      </c>
      <c r="C83" s="266">
        <v>75301</v>
      </c>
      <c r="D83" s="263">
        <f>SUM(B83/52.143/37)</f>
        <v>35.741109039538358</v>
      </c>
      <c r="E83" s="263">
        <f>SUM(C83/52.143/37)</f>
        <v>39.03040028694479</v>
      </c>
      <c r="F83" s="381"/>
      <c r="G83" s="399"/>
    </row>
    <row r="84" spans="1:7" x14ac:dyDescent="0.35">
      <c r="A84" s="23"/>
      <c r="B84" s="266"/>
      <c r="C84" s="266"/>
      <c r="D84" s="263">
        <v>0</v>
      </c>
      <c r="E84" s="263">
        <v>0</v>
      </c>
      <c r="F84" s="381"/>
    </row>
    <row r="85" spans="1:7" x14ac:dyDescent="0.35">
      <c r="A85" s="260" t="s">
        <v>43</v>
      </c>
      <c r="B85" s="266">
        <v>61845</v>
      </c>
      <c r="C85" s="266">
        <v>67346</v>
      </c>
      <c r="D85" s="263">
        <f>SUM(B85/52.143/37)</f>
        <v>32.05581739613153</v>
      </c>
      <c r="E85" s="263">
        <f>SUM(C85/52.143/37)</f>
        <v>34.907123912359516</v>
      </c>
      <c r="F85" s="381"/>
      <c r="G85" s="399"/>
    </row>
    <row r="86" spans="1:7" x14ac:dyDescent="0.35">
      <c r="A86" s="23"/>
      <c r="B86" s="266"/>
      <c r="C86" s="266"/>
      <c r="D86" s="263">
        <v>0</v>
      </c>
      <c r="E86" s="263">
        <v>0</v>
      </c>
      <c r="F86" s="381"/>
    </row>
    <row r="87" spans="1:7" x14ac:dyDescent="0.35">
      <c r="A87" s="260" t="s">
        <v>44</v>
      </c>
      <c r="B87" s="266">
        <v>55196</v>
      </c>
      <c r="C87" s="266">
        <v>60174</v>
      </c>
      <c r="D87" s="263">
        <f>SUM(B87/52.143/37)</f>
        <v>28.609473635651646</v>
      </c>
      <c r="E87" s="263">
        <f>SUM(C87/52.143/37)</f>
        <v>31.189696111162078</v>
      </c>
      <c r="F87" s="381"/>
      <c r="G87" s="399"/>
    </row>
    <row r="88" spans="1:7" x14ac:dyDescent="0.35">
      <c r="A88" s="23"/>
      <c r="B88" s="266"/>
      <c r="C88" s="266"/>
      <c r="D88" s="263">
        <v>0</v>
      </c>
      <c r="E88" s="263">
        <v>0</v>
      </c>
      <c r="F88" s="381"/>
    </row>
    <row r="89" spans="1:7" x14ac:dyDescent="0.35">
      <c r="A89" s="260" t="s">
        <v>45</v>
      </c>
      <c r="B89" s="266">
        <v>50549</v>
      </c>
      <c r="C89" s="266">
        <v>55018</v>
      </c>
      <c r="D89" s="263">
        <f>SUM(B89/52.143/37)</f>
        <v>26.200816776733006</v>
      </c>
      <c r="E89" s="263">
        <f>SUM(C89/52.143/37)</f>
        <v>28.517211763285061</v>
      </c>
      <c r="F89" s="381"/>
      <c r="G89" s="381"/>
    </row>
    <row r="90" spans="1:7" x14ac:dyDescent="0.35">
      <c r="A90" s="23"/>
      <c r="B90" s="266"/>
      <c r="C90" s="266"/>
      <c r="D90" s="263">
        <v>0</v>
      </c>
      <c r="E90" s="263">
        <v>0</v>
      </c>
      <c r="F90" s="381"/>
    </row>
    <row r="91" spans="1:7" x14ac:dyDescent="0.35">
      <c r="A91" s="262" t="s">
        <v>46</v>
      </c>
      <c r="B91" s="272">
        <v>46467</v>
      </c>
      <c r="C91" s="273">
        <v>50398</v>
      </c>
      <c r="D91" s="263">
        <f>SUM(B91/52.143/37)</f>
        <v>24.085013613809423</v>
      </c>
      <c r="E91" s="263">
        <f>SUM(C91/52.143/37)</f>
        <v>26.122549682759107</v>
      </c>
      <c r="F91" s="381"/>
      <c r="G91" s="381"/>
    </row>
    <row r="92" spans="1:7" x14ac:dyDescent="0.35">
      <c r="A92" s="7"/>
      <c r="B92" s="7"/>
      <c r="C92" s="10"/>
      <c r="D92" s="10"/>
      <c r="E92" s="16"/>
      <c r="F92" s="241"/>
    </row>
  </sheetData>
  <mergeCells count="1">
    <mergeCell ref="E74:F7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B5899-C911-4C6E-9005-FAB7D68733BD}">
  <dimension ref="A1:L92"/>
  <sheetViews>
    <sheetView topLeftCell="A36" workbookViewId="0">
      <selection sqref="A1:IV65536"/>
    </sheetView>
  </sheetViews>
  <sheetFormatPr defaultColWidth="9.1796875" defaultRowHeight="14.5" x14ac:dyDescent="0.35"/>
  <cols>
    <col min="1" max="1" width="31.54296875" style="26" customWidth="1"/>
    <col min="2" max="2" width="21" style="26" customWidth="1"/>
    <col min="3" max="3" width="11.453125" style="26" customWidth="1"/>
    <col min="4" max="4" width="11.26953125" style="26" customWidth="1"/>
    <col min="5" max="5" width="11" style="26" customWidth="1"/>
    <col min="6" max="6" width="11.7265625" style="26" customWidth="1"/>
    <col min="7" max="7" width="11.1796875" style="26" customWidth="1"/>
    <col min="8" max="8" width="8.81640625" style="26" customWidth="1"/>
    <col min="9" max="9" width="10.453125" style="26" bestFit="1" customWidth="1"/>
    <col min="10" max="10" width="9.1796875" style="26"/>
    <col min="11" max="11" width="9.1796875" style="143"/>
    <col min="12" max="16384" width="9.1796875" style="26"/>
  </cols>
  <sheetData>
    <row r="1" spans="1:12" s="392" customFormat="1" ht="18" x14ac:dyDescent="0.4">
      <c r="A1" s="384"/>
      <c r="B1" s="385"/>
      <c r="C1" s="386"/>
      <c r="D1" s="387" t="s">
        <v>79</v>
      </c>
      <c r="E1" s="388"/>
      <c r="F1" s="385" t="s">
        <v>80</v>
      </c>
      <c r="G1" s="389"/>
      <c r="H1" s="390"/>
      <c r="I1" s="391"/>
      <c r="K1" s="393"/>
    </row>
    <row r="2" spans="1:12" x14ac:dyDescent="0.35">
      <c r="A2" s="1"/>
      <c r="B2" s="1"/>
      <c r="C2" s="6"/>
      <c r="D2" s="1"/>
      <c r="E2" s="27"/>
      <c r="F2" s="1"/>
      <c r="G2" s="1"/>
      <c r="H2" s="1"/>
      <c r="I2" s="28"/>
    </row>
    <row r="3" spans="1:12" ht="15" thickBot="1" x14ac:dyDescent="0.4">
      <c r="A3" s="1"/>
      <c r="B3" s="1"/>
      <c r="C3" s="398">
        <v>44652</v>
      </c>
      <c r="D3" s="30"/>
      <c r="E3" s="31"/>
      <c r="F3" s="1"/>
      <c r="G3" s="1"/>
      <c r="H3" s="2"/>
      <c r="I3" s="30"/>
    </row>
    <row r="4" spans="1:12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</row>
    <row r="5" spans="1:12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12" ht="15" thickBot="1" x14ac:dyDescent="0.4">
      <c r="A6" s="71"/>
      <c r="B6" s="341" t="s">
        <v>11</v>
      </c>
      <c r="C6" s="207"/>
      <c r="D6" s="207" t="s">
        <v>0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12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</row>
    <row r="8" spans="1:12" x14ac:dyDescent="0.35">
      <c r="A8" s="6"/>
      <c r="B8" s="361"/>
      <c r="C8" s="370"/>
      <c r="D8" s="371"/>
      <c r="E8" s="372"/>
      <c r="F8" s="372"/>
      <c r="G8" s="373"/>
      <c r="H8" s="374"/>
      <c r="I8" s="311"/>
      <c r="L8" s="200"/>
    </row>
    <row r="9" spans="1:12" ht="15" thickBot="1" x14ac:dyDescent="0.4">
      <c r="A9" s="6"/>
      <c r="B9" s="362">
        <v>2</v>
      </c>
      <c r="C9" s="375">
        <v>20441</v>
      </c>
      <c r="D9" s="376">
        <f>D11</f>
        <v>21974</v>
      </c>
      <c r="E9" s="377">
        <f>E11</f>
        <v>1831.1666666666667</v>
      </c>
      <c r="F9" s="377">
        <f>F11</f>
        <v>421.41802351226437</v>
      </c>
      <c r="G9" s="378">
        <f>G11</f>
        <v>11.38967631114228</v>
      </c>
      <c r="H9" s="379">
        <f>H11</f>
        <v>12.962590609711027</v>
      </c>
      <c r="I9" s="311"/>
      <c r="L9" s="200"/>
    </row>
    <row r="10" spans="1:12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311"/>
      <c r="L10" s="200"/>
    </row>
    <row r="11" spans="1:12" x14ac:dyDescent="0.35">
      <c r="A11" s="6"/>
      <c r="B11" s="342">
        <v>2</v>
      </c>
      <c r="C11" s="180">
        <f>C9</f>
        <v>20441</v>
      </c>
      <c r="D11" s="180">
        <f>ROUND((C11*1.075),0)</f>
        <v>21974</v>
      </c>
      <c r="E11" s="157">
        <f>D11/12</f>
        <v>1831.1666666666667</v>
      </c>
      <c r="F11" s="158">
        <f>SUM(D11/52.143)</f>
        <v>421.41802351226437</v>
      </c>
      <c r="G11" s="170">
        <f>SUM($D11/52.143)/37</f>
        <v>11.38967631114228</v>
      </c>
      <c r="H11" s="328">
        <f>SUM($D11/52.143)/37*1.1381</f>
        <v>12.962590609711027</v>
      </c>
      <c r="I11" s="311"/>
      <c r="L11" s="200"/>
    </row>
    <row r="12" spans="1:12" ht="15" thickBot="1" x14ac:dyDescent="0.4">
      <c r="A12" s="6"/>
      <c r="B12" s="343">
        <v>3</v>
      </c>
      <c r="C12" s="223">
        <v>20812</v>
      </c>
      <c r="D12" s="223">
        <f>ROUND((C12*1.075),0)</f>
        <v>22373</v>
      </c>
      <c r="E12" s="151">
        <f>D12/12</f>
        <v>1864.4166666666667</v>
      </c>
      <c r="F12" s="152">
        <f>SUM(D12/52.143)</f>
        <v>429.07005734230864</v>
      </c>
      <c r="G12" s="163">
        <f>SUM($D12/52.143)/37</f>
        <v>11.596488036278611</v>
      </c>
      <c r="H12" s="322">
        <f>SUM($D12/52.143)/37*1.1381</f>
        <v>13.197963034088685</v>
      </c>
      <c r="I12" s="311"/>
      <c r="L12" s="200"/>
    </row>
    <row r="13" spans="1:12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311"/>
      <c r="L13" s="200"/>
    </row>
    <row r="14" spans="1:12" x14ac:dyDescent="0.35">
      <c r="A14" s="6"/>
      <c r="B14" s="342">
        <v>3</v>
      </c>
      <c r="C14" s="180">
        <f t="shared" ref="C14:H14" si="0">C12</f>
        <v>20812</v>
      </c>
      <c r="D14" s="183">
        <f t="shared" si="0"/>
        <v>22373</v>
      </c>
      <c r="E14" s="285">
        <f t="shared" si="0"/>
        <v>1864.4166666666667</v>
      </c>
      <c r="F14" s="285">
        <f t="shared" si="0"/>
        <v>429.07005734230864</v>
      </c>
      <c r="G14" s="284">
        <f t="shared" si="0"/>
        <v>11.596488036278611</v>
      </c>
      <c r="H14" s="331">
        <f t="shared" si="0"/>
        <v>13.197963034088685</v>
      </c>
      <c r="I14" s="311"/>
      <c r="L14" s="200"/>
    </row>
    <row r="15" spans="1:12" ht="15" thickBot="1" x14ac:dyDescent="0.4">
      <c r="A15" s="6"/>
      <c r="B15" s="344">
        <v>4</v>
      </c>
      <c r="C15" s="182">
        <v>21189</v>
      </c>
      <c r="D15" s="178">
        <f>ROUND((C15*1.075),0)</f>
        <v>22778</v>
      </c>
      <c r="E15" s="159">
        <f>D15/12</f>
        <v>1898.1666666666667</v>
      </c>
      <c r="F15" s="160">
        <f>SUM(D15/52.143)</f>
        <v>436.83715935024833</v>
      </c>
      <c r="G15" s="172">
        <f>SUM($D15/52.143)/37</f>
        <v>11.806409712168874</v>
      </c>
      <c r="H15" s="333">
        <f>SUM($D15/52.143)/37*1.1381</f>
        <v>13.436874893419393</v>
      </c>
      <c r="I15" s="311"/>
      <c r="L15" s="200"/>
    </row>
    <row r="16" spans="1:12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311"/>
      <c r="L16" s="200"/>
    </row>
    <row r="17" spans="1:12" x14ac:dyDescent="0.35">
      <c r="A17" s="6"/>
      <c r="B17" s="342">
        <v>5</v>
      </c>
      <c r="C17" s="223">
        <v>21575</v>
      </c>
      <c r="D17" s="223">
        <f>ROUND((C17*1.075),0)</f>
        <v>23193</v>
      </c>
      <c r="E17" s="151">
        <f>D17/12</f>
        <v>1932.75</v>
      </c>
      <c r="F17" s="152">
        <f>SUM(D17/52.143)</f>
        <v>444.79604165468038</v>
      </c>
      <c r="G17" s="163">
        <f>SUM($D17/52.143)/37</f>
        <v>12.021514639315686</v>
      </c>
      <c r="H17" s="322">
        <f>SUM($D17/52.143)/37*1.1381</f>
        <v>13.681685811005181</v>
      </c>
      <c r="I17" s="311"/>
      <c r="L17" s="200"/>
    </row>
    <row r="18" spans="1:12" ht="15" thickBot="1" x14ac:dyDescent="0.4">
      <c r="A18" s="6"/>
      <c r="B18" s="344">
        <v>6</v>
      </c>
      <c r="C18" s="182">
        <v>21968</v>
      </c>
      <c r="D18" s="178">
        <f>ROUND((C18*1.075),0)</f>
        <v>23616</v>
      </c>
      <c r="E18" s="159">
        <f>D18/12</f>
        <v>1968</v>
      </c>
      <c r="F18" s="160">
        <f>SUM(D18/52.143)</f>
        <v>452.90834819630629</v>
      </c>
      <c r="G18" s="172">
        <f>SUM($D18/52.143)/37</f>
        <v>12.240766167467738</v>
      </c>
      <c r="H18" s="333">
        <f>SUM($D18/52.143)/37*1.1381</f>
        <v>13.931215975195032</v>
      </c>
      <c r="I18" s="311"/>
      <c r="L18" s="200"/>
    </row>
    <row r="19" spans="1:12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311"/>
      <c r="L19" s="200"/>
    </row>
    <row r="20" spans="1:12" x14ac:dyDescent="0.35">
      <c r="A20" s="6"/>
      <c r="B20" s="342">
        <v>7</v>
      </c>
      <c r="C20" s="180">
        <v>22369</v>
      </c>
      <c r="D20" s="180">
        <f>ROUND((C20*1.075),0)</f>
        <v>24047</v>
      </c>
      <c r="E20" s="157">
        <f>D20/12</f>
        <v>2003.9166666666667</v>
      </c>
      <c r="F20" s="158">
        <f>SUM(D20/52.143)</f>
        <v>461.17407897512606</v>
      </c>
      <c r="G20" s="170">
        <f>SUM($D20/52.143)/37</f>
        <v>12.464164296625029</v>
      </c>
      <c r="H20" s="328">
        <f>SUM($D20/52.143)/37*1.1381</f>
        <v>14.185465385988945</v>
      </c>
      <c r="I20" s="311"/>
      <c r="L20" s="200"/>
    </row>
    <row r="21" spans="1:12" x14ac:dyDescent="0.35">
      <c r="A21" s="6"/>
      <c r="B21" s="342">
        <v>8</v>
      </c>
      <c r="C21" s="175">
        <v>22777</v>
      </c>
      <c r="D21" s="175">
        <f>ROUND((C21*1.075),0)</f>
        <v>24485</v>
      </c>
      <c r="E21" s="149">
        <f>D21/12</f>
        <v>2040.4166666666667</v>
      </c>
      <c r="F21" s="150">
        <f>SUM(D21/52.143)</f>
        <v>469.5740559614905</v>
      </c>
      <c r="G21" s="161">
        <f>SUM($D21/52.143)/37</f>
        <v>12.691190701661906</v>
      </c>
      <c r="H21" s="329">
        <f>SUM($D21/52.143)/37*1.1381</f>
        <v>14.443844137561413</v>
      </c>
      <c r="I21" s="311"/>
      <c r="L21" s="200"/>
    </row>
    <row r="22" spans="1:12" x14ac:dyDescent="0.35">
      <c r="A22" s="6"/>
      <c r="B22" s="342">
        <v>9</v>
      </c>
      <c r="C22" s="175">
        <v>23194</v>
      </c>
      <c r="D22" s="175">
        <f>ROUND((C22*1.075),0)</f>
        <v>24934</v>
      </c>
      <c r="E22" s="149">
        <f>D22/12</f>
        <v>2077.8333333333335</v>
      </c>
      <c r="F22" s="150">
        <f>SUM(D22/52.143)</f>
        <v>478.1849912739965</v>
      </c>
      <c r="G22" s="161">
        <f>SUM($D22/52.143)/37</f>
        <v>12.923918683080986</v>
      </c>
      <c r="H22" s="329">
        <f>SUM($D22/52.143)/37*1.1381</f>
        <v>14.708711853214469</v>
      </c>
      <c r="I22" s="311"/>
      <c r="L22" s="200"/>
    </row>
    <row r="23" spans="1:12" x14ac:dyDescent="0.35">
      <c r="A23" s="6"/>
      <c r="B23" s="345">
        <v>10</v>
      </c>
      <c r="C23" s="223">
        <v>23620</v>
      </c>
      <c r="D23" s="223">
        <f>ROUND((C23*1.075),0)</f>
        <v>25392</v>
      </c>
      <c r="E23" s="151">
        <f>D23/12</f>
        <v>2116</v>
      </c>
      <c r="F23" s="152">
        <f>SUM(D23/52.143)</f>
        <v>486.96852885334562</v>
      </c>
      <c r="G23" s="163">
        <f>SUM($D23/52.143)/37</f>
        <v>13.161311590630962</v>
      </c>
      <c r="H23" s="322">
        <f>SUM($D23/52.143)/37*1.1381</f>
        <v>14.978888721297096</v>
      </c>
      <c r="I23" s="311"/>
      <c r="L23" s="200"/>
    </row>
    <row r="24" spans="1:12" ht="15" thickBot="1" x14ac:dyDescent="0.4">
      <c r="A24" s="6"/>
      <c r="B24" s="344">
        <v>11</v>
      </c>
      <c r="C24" s="182">
        <v>24054</v>
      </c>
      <c r="D24" s="178">
        <f>ROUND((C24*1.075),0)</f>
        <v>25858</v>
      </c>
      <c r="E24" s="159">
        <f>D24/12</f>
        <v>2154.8333333333335</v>
      </c>
      <c r="F24" s="160">
        <f>SUM(D24/52.143)</f>
        <v>495.90549066988859</v>
      </c>
      <c r="G24" s="172">
        <f>SUM($D24/52.143)/37</f>
        <v>13.402851099186178</v>
      </c>
      <c r="H24" s="333">
        <f>SUM($D24/52.143)/37*1.1381</f>
        <v>15.253784835983787</v>
      </c>
      <c r="I24" s="311"/>
      <c r="L24" s="200"/>
    </row>
    <row r="25" spans="1:12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311"/>
      <c r="L25" s="200"/>
    </row>
    <row r="26" spans="1:12" x14ac:dyDescent="0.35">
      <c r="A26" s="6"/>
      <c r="B26" s="342">
        <v>12</v>
      </c>
      <c r="C26" s="180">
        <v>24496</v>
      </c>
      <c r="D26" s="180">
        <f t="shared" ref="D26:D31" si="1">ROUND((C26*1.075),0)</f>
        <v>26333</v>
      </c>
      <c r="E26" s="157">
        <f t="shared" ref="E26:E31" si="2">D26/12</f>
        <v>2194.4166666666665</v>
      </c>
      <c r="F26" s="158">
        <f t="shared" ref="F26:F31" si="3">SUM(D26/52.143)</f>
        <v>505.01505475327463</v>
      </c>
      <c r="G26" s="170">
        <f t="shared" ref="G26:G31" si="4">SUM($D26/52.143)/37</f>
        <v>13.649055533872287</v>
      </c>
      <c r="H26" s="328">
        <f t="shared" ref="H26:H31" si="5">SUM($D26/52.143)/37*1.1381</f>
        <v>15.533990103100049</v>
      </c>
      <c r="I26" s="311"/>
      <c r="L26" s="200"/>
    </row>
    <row r="27" spans="1:12" x14ac:dyDescent="0.35">
      <c r="A27" s="6"/>
      <c r="B27" s="342">
        <v>13</v>
      </c>
      <c r="C27" s="175">
        <v>24948</v>
      </c>
      <c r="D27" s="175">
        <f t="shared" si="1"/>
        <v>26819</v>
      </c>
      <c r="E27" s="149">
        <f t="shared" si="2"/>
        <v>2234.9166666666665</v>
      </c>
      <c r="F27" s="150">
        <f t="shared" si="3"/>
        <v>514.33557716280234</v>
      </c>
      <c r="G27" s="161">
        <f t="shared" si="4"/>
        <v>13.900961544940603</v>
      </c>
      <c r="H27" s="329">
        <f t="shared" si="5"/>
        <v>15.820684334296899</v>
      </c>
      <c r="I27" s="311"/>
      <c r="L27" s="200"/>
    </row>
    <row r="28" spans="1:12" x14ac:dyDescent="0.35">
      <c r="A28" s="6"/>
      <c r="B28" s="342">
        <v>14</v>
      </c>
      <c r="C28" s="175">
        <v>25409</v>
      </c>
      <c r="D28" s="175">
        <f t="shared" si="1"/>
        <v>27315</v>
      </c>
      <c r="E28" s="149">
        <f t="shared" si="2"/>
        <v>2276.25</v>
      </c>
      <c r="F28" s="150">
        <f t="shared" si="3"/>
        <v>523.84787986882225</v>
      </c>
      <c r="G28" s="161">
        <f t="shared" si="4"/>
        <v>14.158050807265466</v>
      </c>
      <c r="H28" s="329">
        <f t="shared" si="5"/>
        <v>16.113277623748825</v>
      </c>
      <c r="I28" s="311"/>
      <c r="L28" s="200"/>
    </row>
    <row r="29" spans="1:12" x14ac:dyDescent="0.35">
      <c r="A29" s="6"/>
      <c r="B29" s="342">
        <v>15</v>
      </c>
      <c r="C29" s="175">
        <v>25878</v>
      </c>
      <c r="D29" s="175">
        <f t="shared" si="1"/>
        <v>27819</v>
      </c>
      <c r="E29" s="149">
        <f t="shared" si="2"/>
        <v>2318.25</v>
      </c>
      <c r="F29" s="150">
        <f t="shared" si="3"/>
        <v>533.51360681203607</v>
      </c>
      <c r="G29" s="161">
        <f t="shared" si="4"/>
        <v>14.41928667059557</v>
      </c>
      <c r="H29" s="329">
        <f t="shared" si="5"/>
        <v>16.410590159804816</v>
      </c>
      <c r="I29" s="311"/>
      <c r="L29" s="200"/>
    </row>
    <row r="30" spans="1:12" x14ac:dyDescent="0.35">
      <c r="A30" s="6"/>
      <c r="B30" s="342">
        <v>16</v>
      </c>
      <c r="C30" s="223">
        <v>26357</v>
      </c>
      <c r="D30" s="223">
        <f t="shared" si="1"/>
        <v>28334</v>
      </c>
      <c r="E30" s="151">
        <f t="shared" si="2"/>
        <v>2361.1666666666665</v>
      </c>
      <c r="F30" s="152">
        <f t="shared" si="3"/>
        <v>543.39029208139152</v>
      </c>
      <c r="G30" s="163">
        <f t="shared" si="4"/>
        <v>14.686224110307879</v>
      </c>
      <c r="H30" s="322">
        <f t="shared" si="5"/>
        <v>16.714391659941395</v>
      </c>
      <c r="I30" s="311"/>
      <c r="L30" s="200"/>
    </row>
    <row r="31" spans="1:12" ht="15" thickBot="1" x14ac:dyDescent="0.4">
      <c r="A31" s="6"/>
      <c r="B31" s="345">
        <v>17</v>
      </c>
      <c r="C31" s="182">
        <v>26845</v>
      </c>
      <c r="D31" s="182">
        <f t="shared" si="1"/>
        <v>28858</v>
      </c>
      <c r="E31" s="159">
        <f t="shared" si="2"/>
        <v>2404.8333333333335</v>
      </c>
      <c r="F31" s="160">
        <f t="shared" si="3"/>
        <v>553.43957961759008</v>
      </c>
      <c r="G31" s="172">
        <f t="shared" si="4"/>
        <v>14.957826476151084</v>
      </c>
      <c r="H31" s="333">
        <f t="shared" si="5"/>
        <v>17.023502312507546</v>
      </c>
      <c r="I31" s="311"/>
      <c r="L31" s="200"/>
    </row>
    <row r="32" spans="1:12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311"/>
      <c r="L32" s="200"/>
    </row>
    <row r="33" spans="1:12" s="1" customFormat="1" ht="15.75" customHeight="1" x14ac:dyDescent="0.35">
      <c r="B33" s="346">
        <v>18</v>
      </c>
      <c r="C33" s="339">
        <v>27344</v>
      </c>
      <c r="D33" s="296">
        <f>ROUND((C33*1.075),0)</f>
        <v>29395</v>
      </c>
      <c r="E33" s="297">
        <f>D33/12</f>
        <v>2449.5833333333335</v>
      </c>
      <c r="F33" s="297">
        <f>SUM(D33/52.143)</f>
        <v>563.73818153922866</v>
      </c>
      <c r="G33" s="298">
        <f>SUM($D33/52.143)/37</f>
        <v>15.236167068627802</v>
      </c>
      <c r="H33" s="336">
        <f>SUM($D33/52.143)/37*1.1381</f>
        <v>17.340281740805299</v>
      </c>
      <c r="I33" s="311"/>
      <c r="K33" s="380"/>
      <c r="L33" s="200"/>
    </row>
    <row r="34" spans="1:12" x14ac:dyDescent="0.35">
      <c r="A34" s="6"/>
      <c r="B34" s="342">
        <v>19</v>
      </c>
      <c r="C34" s="180">
        <v>27852</v>
      </c>
      <c r="D34" s="180">
        <f>ROUND((C34*1.075),0)</f>
        <v>29941</v>
      </c>
      <c r="E34" s="157">
        <f>D34/12</f>
        <v>2495.0833333333335</v>
      </c>
      <c r="F34" s="158">
        <f>SUM(D34/52.143)</f>
        <v>574.20938572771036</v>
      </c>
      <c r="G34" s="170">
        <f>SUM($D34/52.143)/37</f>
        <v>15.519172587235415</v>
      </c>
      <c r="H34" s="328">
        <f>SUM($D34/52.143)/37*1.1381</f>
        <v>17.662370321532624</v>
      </c>
      <c r="I34" s="311"/>
      <c r="L34" s="200"/>
    </row>
    <row r="35" spans="1:12" x14ac:dyDescent="0.35">
      <c r="A35" s="6"/>
      <c r="B35" s="342">
        <v>20</v>
      </c>
      <c r="C35" s="175">
        <v>28371</v>
      </c>
      <c r="D35" s="175">
        <f>ROUND((C35*1.075),0)</f>
        <v>30499</v>
      </c>
      <c r="E35" s="149">
        <f>D35/12</f>
        <v>2541.5833333333335</v>
      </c>
      <c r="F35" s="150">
        <f>SUM(D35/52.143)</f>
        <v>584.91072627198275</v>
      </c>
      <c r="G35" s="161">
        <f>SUM($D35/52.143)/37</f>
        <v>15.808398007350885</v>
      </c>
      <c r="H35" s="329">
        <f>SUM($D35/52.143)/37*1.1381</f>
        <v>17.991537772166041</v>
      </c>
      <c r="I35" s="311"/>
      <c r="L35" s="200"/>
    </row>
    <row r="36" spans="1:12" x14ac:dyDescent="0.35">
      <c r="A36" s="6"/>
      <c r="B36" s="345">
        <v>21</v>
      </c>
      <c r="C36" s="223">
        <v>28900</v>
      </c>
      <c r="D36" s="223">
        <f>ROUND((C36*1.075),0)</f>
        <v>31068</v>
      </c>
      <c r="E36" s="151">
        <f>D36/12</f>
        <v>2589</v>
      </c>
      <c r="F36" s="152">
        <f>SUM(D36/52.143)</f>
        <v>595.82302514239689</v>
      </c>
      <c r="G36" s="163">
        <f>SUM($D36/52.143)/37</f>
        <v>16.103325003848564</v>
      </c>
      <c r="H36" s="322">
        <f>SUM($D36/52.143)/37*1.1381</f>
        <v>18.32719418688005</v>
      </c>
      <c r="I36" s="311"/>
      <c r="L36" s="200"/>
    </row>
    <row r="37" spans="1:12" ht="15" thickBot="1" x14ac:dyDescent="0.4">
      <c r="A37" s="6"/>
      <c r="B37" s="344">
        <v>22</v>
      </c>
      <c r="C37" s="182">
        <v>29439</v>
      </c>
      <c r="D37" s="182">
        <f>ROUND((C37*1.075),0)</f>
        <v>31647</v>
      </c>
      <c r="E37" s="159">
        <f>D37/12</f>
        <v>2637.25</v>
      </c>
      <c r="F37" s="160">
        <f>SUM(D37/52.143)</f>
        <v>606.92710430930322</v>
      </c>
      <c r="G37" s="172">
        <f>SUM($D37/52.143)/37</f>
        <v>16.40343525160279</v>
      </c>
      <c r="H37" s="333">
        <f>SUM($D37/52.143)/37*1.1381</f>
        <v>18.668749659849134</v>
      </c>
      <c r="I37" s="311"/>
      <c r="L37" s="200"/>
    </row>
    <row r="38" spans="1:12" ht="15" thickBot="1" x14ac:dyDescent="0.4">
      <c r="A38" s="6"/>
      <c r="B38" s="345"/>
      <c r="C38" s="64"/>
      <c r="D38" s="64"/>
      <c r="E38" s="65"/>
      <c r="F38" s="65"/>
      <c r="G38" s="65"/>
      <c r="H38" s="66"/>
      <c r="I38" s="311"/>
      <c r="L38" s="200"/>
    </row>
    <row r="39" spans="1:12" x14ac:dyDescent="0.35">
      <c r="B39" s="360" t="s">
        <v>22</v>
      </c>
      <c r="C39" s="347"/>
      <c r="D39" s="348" t="s">
        <v>20</v>
      </c>
      <c r="E39" s="349" t="s">
        <v>49</v>
      </c>
      <c r="F39" s="350"/>
      <c r="G39" s="351" t="s">
        <v>21</v>
      </c>
      <c r="H39" s="352" t="s">
        <v>48</v>
      </c>
      <c r="I39" s="311"/>
      <c r="L39" s="200"/>
    </row>
    <row r="40" spans="1:12" ht="15" thickBot="1" x14ac:dyDescent="0.4">
      <c r="A40" s="1"/>
      <c r="B40" s="394">
        <v>8</v>
      </c>
      <c r="C40" s="395">
        <f>20852+1925</f>
        <v>22777</v>
      </c>
      <c r="D40" s="354">
        <f>637*1.0404</f>
        <v>662.73479999999995</v>
      </c>
      <c r="E40" s="396">
        <f>C40+D40</f>
        <v>23439.734799999998</v>
      </c>
      <c r="F40" s="356"/>
      <c r="G40" s="357">
        <f>SUM(C40+D40)/37/52.143</f>
        <v>12.149403485529138</v>
      </c>
      <c r="H40" s="358">
        <f>E40/52.143/37*1.1381</f>
        <v>13.827236106880713</v>
      </c>
      <c r="I40" s="311"/>
      <c r="J40" s="311"/>
      <c r="K40" s="311"/>
      <c r="L40" s="311"/>
    </row>
    <row r="41" spans="1:12" x14ac:dyDescent="0.35">
      <c r="A41" s="1"/>
      <c r="B41" s="1"/>
      <c r="C41" s="5"/>
      <c r="D41" s="1"/>
      <c r="E41" s="1"/>
      <c r="F41" s="1"/>
      <c r="G41" s="1"/>
      <c r="H41" s="4"/>
      <c r="I41" s="1"/>
    </row>
    <row r="42" spans="1:12" x14ac:dyDescent="0.35">
      <c r="A42" s="70" t="s">
        <v>47</v>
      </c>
      <c r="B42" s="70"/>
      <c r="C42" s="71"/>
      <c r="D42" s="72"/>
      <c r="E42" s="73"/>
      <c r="F42" s="74"/>
      <c r="G42" s="74"/>
      <c r="H42" s="75"/>
      <c r="I42" s="2"/>
    </row>
    <row r="43" spans="1:12" x14ac:dyDescent="0.35">
      <c r="A43" s="76"/>
      <c r="B43" s="76"/>
      <c r="C43" s="71"/>
      <c r="D43" s="74"/>
      <c r="E43" s="73"/>
      <c r="F43" s="74"/>
      <c r="G43" s="74"/>
      <c r="H43" s="75"/>
      <c r="I43" s="1"/>
    </row>
    <row r="44" spans="1:12" x14ac:dyDescent="0.35">
      <c r="A44" s="77" t="s">
        <v>60</v>
      </c>
      <c r="C44" s="6"/>
      <c r="D44" s="75"/>
      <c r="E44" s="29"/>
      <c r="F44" s="75"/>
      <c r="G44" s="75"/>
      <c r="H44" s="75"/>
      <c r="I44" s="1"/>
    </row>
    <row r="45" spans="1:12" x14ac:dyDescent="0.35">
      <c r="A45" s="1"/>
      <c r="B45" s="1"/>
      <c r="C45" s="6"/>
      <c r="D45" s="75"/>
      <c r="E45" s="78"/>
      <c r="F45" s="29"/>
      <c r="G45" s="29"/>
      <c r="H45" s="29"/>
      <c r="I45" s="1"/>
    </row>
    <row r="46" spans="1:12" x14ac:dyDescent="0.35">
      <c r="A46" s="224" t="s">
        <v>24</v>
      </c>
      <c r="B46" s="235" t="s">
        <v>25</v>
      </c>
      <c r="C46" s="236"/>
      <c r="D46" s="237" t="s">
        <v>26</v>
      </c>
      <c r="F46" s="29"/>
      <c r="G46" s="29"/>
      <c r="H46" s="29"/>
      <c r="I46" s="1"/>
    </row>
    <row r="47" spans="1:12" x14ac:dyDescent="0.35">
      <c r="A47" s="221"/>
      <c r="B47" s="238"/>
      <c r="C47" s="239"/>
      <c r="D47" s="240" t="s">
        <v>27</v>
      </c>
      <c r="F47" s="29"/>
      <c r="G47" s="29"/>
      <c r="H47" s="29"/>
      <c r="I47" s="1"/>
    </row>
    <row r="48" spans="1:12" x14ac:dyDescent="0.35">
      <c r="A48" s="1"/>
      <c r="B48" s="6"/>
      <c r="C48" s="75"/>
      <c r="D48" s="87"/>
      <c r="F48" s="29"/>
      <c r="G48" s="29"/>
      <c r="H48" s="29"/>
      <c r="I48" s="1"/>
    </row>
    <row r="49" spans="1:12" x14ac:dyDescent="0.35">
      <c r="A49" s="214" t="s">
        <v>28</v>
      </c>
      <c r="B49" s="89" t="s">
        <v>29</v>
      </c>
      <c r="C49" s="90">
        <v>10000</v>
      </c>
      <c r="D49" s="91">
        <v>45</v>
      </c>
      <c r="F49" s="29"/>
      <c r="G49" s="29"/>
      <c r="H49" s="29"/>
      <c r="I49" s="1"/>
    </row>
    <row r="50" spans="1:12" x14ac:dyDescent="0.35">
      <c r="A50" s="1"/>
      <c r="B50" s="92" t="s">
        <v>30</v>
      </c>
      <c r="C50" s="90">
        <v>10000</v>
      </c>
      <c r="D50" s="93">
        <v>25</v>
      </c>
      <c r="F50" s="29"/>
      <c r="G50" s="29"/>
      <c r="H50" s="29"/>
      <c r="I50" s="1"/>
    </row>
    <row r="51" spans="1:12" x14ac:dyDescent="0.35">
      <c r="A51" s="1"/>
      <c r="B51" s="1"/>
      <c r="C51" s="6"/>
      <c r="D51" s="1"/>
      <c r="E51" s="78"/>
      <c r="F51" s="29"/>
      <c r="G51" s="29"/>
      <c r="H51" s="29"/>
      <c r="I51" s="2"/>
    </row>
    <row r="52" spans="1:12" x14ac:dyDescent="0.35">
      <c r="A52" s="7"/>
      <c r="B52" s="7"/>
      <c r="C52" s="7"/>
      <c r="D52" s="10"/>
      <c r="E52" s="16"/>
      <c r="F52" s="241"/>
      <c r="G52" s="10"/>
      <c r="H52" s="242"/>
      <c r="I52" s="7"/>
    </row>
    <row r="53" spans="1:12" x14ac:dyDescent="0.35">
      <c r="A53" s="301" t="s">
        <v>31</v>
      </c>
      <c r="B53" s="116" t="s">
        <v>75</v>
      </c>
      <c r="C53" s="74"/>
      <c r="D53" s="300"/>
      <c r="E53" s="245"/>
      <c r="G53" s="7" t="s">
        <v>32</v>
      </c>
    </row>
    <row r="54" spans="1:12" x14ac:dyDescent="0.35">
      <c r="A54" s="1"/>
      <c r="B54" s="101"/>
      <c r="C54" s="75"/>
      <c r="D54" s="246"/>
      <c r="E54" s="245"/>
      <c r="F54" s="75"/>
      <c r="G54" s="247"/>
      <c r="H54" s="7"/>
    </row>
    <row r="55" spans="1:12" x14ac:dyDescent="0.35">
      <c r="A55" s="202" t="s">
        <v>33</v>
      </c>
      <c r="B55" s="203" t="s">
        <v>8</v>
      </c>
      <c r="C55" s="203" t="s">
        <v>4</v>
      </c>
      <c r="D55" s="203" t="s">
        <v>5</v>
      </c>
      <c r="E55" s="204" t="s">
        <v>6</v>
      </c>
      <c r="F55" s="205" t="s">
        <v>7</v>
      </c>
      <c r="G55" s="12"/>
    </row>
    <row r="56" spans="1:12" x14ac:dyDescent="0.35">
      <c r="A56" s="211"/>
      <c r="B56" s="212" t="s">
        <v>11</v>
      </c>
      <c r="C56" s="212" t="s">
        <v>9</v>
      </c>
      <c r="D56" s="302" t="s">
        <v>9</v>
      </c>
      <c r="E56" s="303" t="s">
        <v>9</v>
      </c>
      <c r="F56" s="304" t="s">
        <v>10</v>
      </c>
      <c r="G56" s="13" t="s">
        <v>34</v>
      </c>
      <c r="I56" s="397"/>
    </row>
    <row r="57" spans="1:12" x14ac:dyDescent="0.35">
      <c r="A57" s="1"/>
      <c r="B57" s="6"/>
      <c r="C57" s="14" t="s">
        <v>14</v>
      </c>
      <c r="D57" s="14" t="s">
        <v>14</v>
      </c>
      <c r="E57" s="14" t="s">
        <v>14</v>
      </c>
      <c r="F57" s="305" t="s">
        <v>14</v>
      </c>
      <c r="G57" s="306" t="s">
        <v>14</v>
      </c>
      <c r="I57" s="397"/>
    </row>
    <row r="58" spans="1:12" x14ac:dyDescent="0.35">
      <c r="A58" s="249">
        <v>8</v>
      </c>
      <c r="B58" s="109">
        <v>1</v>
      </c>
      <c r="C58" s="175">
        <f>31988+1925</f>
        <v>33913</v>
      </c>
      <c r="D58" s="148">
        <f>C58/12</f>
        <v>2826.0833333333335</v>
      </c>
      <c r="E58" s="149">
        <f>SUM(C58/52.143)</f>
        <v>650.3845194944671</v>
      </c>
      <c r="F58" s="174">
        <f>SUM(C58/52.143)/37</f>
        <v>17.57795998633695</v>
      </c>
      <c r="G58" s="234">
        <f t="shared" ref="G58:G67" si="6">SUM(C58*113.81%)</f>
        <v>38596.385300000002</v>
      </c>
      <c r="I58" s="397"/>
      <c r="L58" s="200"/>
    </row>
    <row r="59" spans="1:12" x14ac:dyDescent="0.35">
      <c r="A59" s="110"/>
      <c r="B59" s="111">
        <v>2</v>
      </c>
      <c r="C59" s="175">
        <f>32850+1925</f>
        <v>34775</v>
      </c>
      <c r="D59" s="148">
        <f t="shared" ref="D59:D66" si="7">C59/12</f>
        <v>2897.9166666666665</v>
      </c>
      <c r="E59" s="149">
        <f t="shared" ref="E59:E67" si="8">SUM(C59/52.143)</f>
        <v>666.91598105210664</v>
      </c>
      <c r="F59" s="174">
        <f t="shared" ref="F59:F67" si="9">SUM(C59/52.143)/37</f>
        <v>18.024756244651531</v>
      </c>
      <c r="G59" s="234">
        <f t="shared" si="6"/>
        <v>39577.427500000005</v>
      </c>
      <c r="I59" s="397"/>
      <c r="L59" s="200"/>
    </row>
    <row r="60" spans="1:12" x14ac:dyDescent="0.35">
      <c r="A60" s="110"/>
      <c r="B60" s="111">
        <v>3</v>
      </c>
      <c r="C60" s="175">
        <f>33705+1925</f>
        <v>35630</v>
      </c>
      <c r="D60" s="148">
        <f t="shared" si="7"/>
        <v>2969.1666666666665</v>
      </c>
      <c r="E60" s="149">
        <f t="shared" si="8"/>
        <v>683.31319640220158</v>
      </c>
      <c r="F60" s="174">
        <f t="shared" si="9"/>
        <v>18.467924227086531</v>
      </c>
      <c r="G60" s="234">
        <f t="shared" si="6"/>
        <v>40550.503000000004</v>
      </c>
      <c r="I60" s="397"/>
      <c r="L60" s="200"/>
    </row>
    <row r="61" spans="1:12" x14ac:dyDescent="0.35">
      <c r="A61" s="110"/>
      <c r="B61" s="111">
        <v>4</v>
      </c>
      <c r="C61" s="175">
        <f>34703+1925</f>
        <v>36628</v>
      </c>
      <c r="D61" s="148">
        <f t="shared" si="7"/>
        <v>3052.3333333333335</v>
      </c>
      <c r="E61" s="149">
        <f t="shared" si="8"/>
        <v>702.45286999213704</v>
      </c>
      <c r="F61" s="174">
        <f t="shared" si="9"/>
        <v>18.985212702490191</v>
      </c>
      <c r="G61" s="234">
        <f t="shared" si="6"/>
        <v>41686.326800000003</v>
      </c>
      <c r="I61" s="397"/>
      <c r="L61" s="200"/>
    </row>
    <row r="62" spans="1:12" x14ac:dyDescent="0.35">
      <c r="A62" s="110"/>
      <c r="B62" s="111">
        <v>5</v>
      </c>
      <c r="C62" s="175">
        <f>35705+1925</f>
        <v>37630</v>
      </c>
      <c r="D62" s="148">
        <f t="shared" si="7"/>
        <v>3135.8333333333335</v>
      </c>
      <c r="E62" s="149">
        <f t="shared" si="8"/>
        <v>721.66925570066928</v>
      </c>
      <c r="F62" s="174">
        <f t="shared" si="9"/>
        <v>19.504574478396467</v>
      </c>
      <c r="G62" s="234">
        <f t="shared" si="6"/>
        <v>42826.703000000001</v>
      </c>
      <c r="I62" s="397"/>
      <c r="L62" s="200"/>
    </row>
    <row r="63" spans="1:12" x14ac:dyDescent="0.35">
      <c r="A63" s="249">
        <v>7</v>
      </c>
      <c r="B63" s="109">
        <v>1</v>
      </c>
      <c r="C63" s="175">
        <f>36417+1925</f>
        <v>38342</v>
      </c>
      <c r="D63" s="148">
        <f t="shared" si="7"/>
        <v>3195.1666666666665</v>
      </c>
      <c r="E63" s="149">
        <f t="shared" si="8"/>
        <v>735.32401281092382</v>
      </c>
      <c r="F63" s="174">
        <f t="shared" si="9"/>
        <v>19.873621967862807</v>
      </c>
      <c r="G63" s="234">
        <f t="shared" si="6"/>
        <v>43637.030200000001</v>
      </c>
      <c r="I63" s="397"/>
      <c r="L63" s="200"/>
    </row>
    <row r="64" spans="1:12" x14ac:dyDescent="0.35">
      <c r="A64" s="110"/>
      <c r="B64" s="111">
        <v>2</v>
      </c>
      <c r="C64" s="175">
        <f>37418+1925</f>
        <v>39343</v>
      </c>
      <c r="D64" s="148">
        <f t="shared" si="7"/>
        <v>3278.5833333333335</v>
      </c>
      <c r="E64" s="149">
        <f t="shared" si="8"/>
        <v>754.52122048980686</v>
      </c>
      <c r="F64" s="174">
        <f t="shared" si="9"/>
        <v>20.392465418643429</v>
      </c>
      <c r="G64" s="234">
        <f t="shared" si="6"/>
        <v>44776.268300000003</v>
      </c>
      <c r="I64" s="397"/>
      <c r="L64" s="200"/>
    </row>
    <row r="65" spans="1:12" x14ac:dyDescent="0.35">
      <c r="A65" s="110"/>
      <c r="B65" s="111">
        <v>3</v>
      </c>
      <c r="C65" s="175">
        <f>38418+1925</f>
        <v>40343</v>
      </c>
      <c r="D65" s="148">
        <f t="shared" si="7"/>
        <v>3361.9166666666665</v>
      </c>
      <c r="E65" s="149">
        <f t="shared" si="8"/>
        <v>773.69925013904071</v>
      </c>
      <c r="F65" s="174">
        <f t="shared" si="9"/>
        <v>20.910790544298397</v>
      </c>
      <c r="G65" s="234">
        <f t="shared" si="6"/>
        <v>45914.368300000002</v>
      </c>
      <c r="I65" s="397"/>
      <c r="L65" s="200"/>
    </row>
    <row r="66" spans="1:12" x14ac:dyDescent="0.35">
      <c r="A66" s="110"/>
      <c r="B66" s="111">
        <v>4</v>
      </c>
      <c r="C66" s="175">
        <f>39417+1925</f>
        <v>41342</v>
      </c>
      <c r="D66" s="148">
        <f t="shared" si="7"/>
        <v>3445.1666666666665</v>
      </c>
      <c r="E66" s="149">
        <f t="shared" si="8"/>
        <v>792.85810175862525</v>
      </c>
      <c r="F66" s="174">
        <f t="shared" si="9"/>
        <v>21.428597344827711</v>
      </c>
      <c r="G66" s="234">
        <f t="shared" si="6"/>
        <v>47051.330200000004</v>
      </c>
      <c r="I66" s="397"/>
      <c r="L66" s="200"/>
    </row>
    <row r="67" spans="1:12" x14ac:dyDescent="0.35">
      <c r="A67" s="110"/>
      <c r="B67" s="111">
        <v>5</v>
      </c>
      <c r="C67" s="175">
        <f>40382+1925</f>
        <v>42307</v>
      </c>
      <c r="D67" s="148">
        <f>C67/12</f>
        <v>3525.5833333333335</v>
      </c>
      <c r="E67" s="149">
        <f t="shared" si="8"/>
        <v>811.36490037013596</v>
      </c>
      <c r="F67" s="174">
        <f t="shared" si="9"/>
        <v>21.928781091084755</v>
      </c>
      <c r="G67" s="234">
        <f t="shared" si="6"/>
        <v>48149.596700000002</v>
      </c>
      <c r="I67" s="397"/>
      <c r="L67" s="200"/>
    </row>
    <row r="68" spans="1:12" x14ac:dyDescent="0.35">
      <c r="A68" s="1"/>
      <c r="B68" s="6"/>
      <c r="C68" s="112"/>
      <c r="D68" s="58"/>
      <c r="E68" s="58"/>
      <c r="F68" s="66"/>
      <c r="G68" s="248"/>
      <c r="H68" s="7"/>
    </row>
    <row r="69" spans="1:12" x14ac:dyDescent="0.35">
      <c r="A69" s="253"/>
      <c r="B69" s="253"/>
      <c r="C69" s="6"/>
      <c r="D69" s="67"/>
      <c r="E69" s="254"/>
      <c r="F69" s="255"/>
      <c r="G69" s="66"/>
      <c r="H69" s="248"/>
      <c r="I69" s="7"/>
    </row>
    <row r="70" spans="1:12" x14ac:dyDescent="0.35">
      <c r="A70" s="7"/>
      <c r="B70" s="7"/>
      <c r="C70" s="116"/>
      <c r="D70" s="117"/>
      <c r="E70" s="16"/>
      <c r="F70" s="256"/>
      <c r="G70" s="257"/>
      <c r="H70" s="242"/>
      <c r="I70" s="7"/>
    </row>
    <row r="73" spans="1:12" x14ac:dyDescent="0.35">
      <c r="A73" s="125" t="s">
        <v>35</v>
      </c>
      <c r="B73" s="116" t="s">
        <v>75</v>
      </c>
      <c r="C73" s="126"/>
      <c r="D73" s="127"/>
    </row>
    <row r="74" spans="1:12" x14ac:dyDescent="0.35">
      <c r="A74" s="125"/>
      <c r="B74" s="125"/>
      <c r="C74" s="126"/>
      <c r="D74" s="127"/>
      <c r="E74" s="421"/>
      <c r="F74" s="421"/>
    </row>
    <row r="75" spans="1:12" x14ac:dyDescent="0.35">
      <c r="A75" s="129" t="s">
        <v>36</v>
      </c>
      <c r="B75" s="7"/>
      <c r="D75" s="127"/>
      <c r="E75" s="421"/>
      <c r="F75" s="421"/>
    </row>
    <row r="76" spans="1:12" ht="26.5" x14ac:dyDescent="0.35">
      <c r="A76" s="7"/>
      <c r="B76" s="7"/>
      <c r="C76" s="117"/>
      <c r="D76" s="288" t="s">
        <v>37</v>
      </c>
      <c r="E76" s="288" t="s">
        <v>37</v>
      </c>
    </row>
    <row r="77" spans="1:12" x14ac:dyDescent="0.35">
      <c r="A77" s="260" t="s">
        <v>33</v>
      </c>
      <c r="B77" s="260" t="s">
        <v>38</v>
      </c>
      <c r="C77" s="261" t="s">
        <v>39</v>
      </c>
      <c r="D77" s="286" t="s">
        <v>38</v>
      </c>
      <c r="E77" s="287" t="s">
        <v>39</v>
      </c>
    </row>
    <row r="78" spans="1:12" x14ac:dyDescent="0.35">
      <c r="A78" s="136"/>
      <c r="B78" s="137"/>
      <c r="C78" s="138"/>
      <c r="D78" s="263"/>
      <c r="E78" s="264"/>
    </row>
    <row r="79" spans="1:12" x14ac:dyDescent="0.35">
      <c r="A79" s="265" t="s">
        <v>40</v>
      </c>
      <c r="B79" s="266">
        <f>78804+1925</f>
        <v>80729</v>
      </c>
      <c r="C79" s="266">
        <f>105070+1925</f>
        <v>106995</v>
      </c>
      <c r="D79" s="263">
        <f>SUM(B79/52.143/37)</f>
        <v>41.843869068999958</v>
      </c>
      <c r="E79" s="263">
        <f>SUM(C79/52.143/37)</f>
        <v>55.45819681945337</v>
      </c>
      <c r="F79" s="381"/>
    </row>
    <row r="80" spans="1:12" x14ac:dyDescent="0.35">
      <c r="A80" s="136"/>
      <c r="B80" s="266"/>
      <c r="C80" s="266"/>
      <c r="D80" s="263">
        <v>0</v>
      </c>
      <c r="E80" s="263">
        <v>0</v>
      </c>
      <c r="F80" s="381"/>
    </row>
    <row r="81" spans="1:6" x14ac:dyDescent="0.35">
      <c r="A81" s="260" t="s">
        <v>41</v>
      </c>
      <c r="B81" s="266">
        <f>72240+1925</f>
        <v>74165</v>
      </c>
      <c r="C81" s="266">
        <f>84056+1925</f>
        <v>85981</v>
      </c>
      <c r="D81" s="263">
        <f>SUM(B81/52.143/37)</f>
        <v>38.441582944200739</v>
      </c>
      <c r="E81" s="263">
        <f>SUM(C81/52.143/37)</f>
        <v>44.566112628939855</v>
      </c>
      <c r="F81" s="381"/>
    </row>
    <row r="82" spans="1:6" x14ac:dyDescent="0.35">
      <c r="A82" s="21"/>
      <c r="B82" s="266"/>
      <c r="C82" s="266"/>
      <c r="D82" s="263">
        <v>0</v>
      </c>
      <c r="E82" s="263">
        <v>0</v>
      </c>
      <c r="F82" s="381"/>
    </row>
    <row r="83" spans="1:6" x14ac:dyDescent="0.35">
      <c r="A83" s="260" t="s">
        <v>42</v>
      </c>
      <c r="B83" s="266">
        <f>64454+1925</f>
        <v>66379</v>
      </c>
      <c r="C83" s="266">
        <f>70563+1925</f>
        <v>72488</v>
      </c>
      <c r="D83" s="263">
        <f>SUM(B83/52.143/37)</f>
        <v>34.405903515851158</v>
      </c>
      <c r="E83" s="263">
        <f>SUM(C83/52.143/37)</f>
        <v>37.572351708477363</v>
      </c>
      <c r="F83" s="381"/>
    </row>
    <row r="84" spans="1:6" x14ac:dyDescent="0.35">
      <c r="A84" s="23"/>
      <c r="B84" s="266"/>
      <c r="C84" s="266"/>
      <c r="D84" s="263">
        <v>0</v>
      </c>
      <c r="E84" s="263">
        <v>0</v>
      </c>
      <c r="F84" s="381"/>
    </row>
    <row r="85" spans="1:6" x14ac:dyDescent="0.35">
      <c r="A85" s="260" t="s">
        <v>43</v>
      </c>
      <c r="B85" s="266">
        <f>57610+1925</f>
        <v>59535</v>
      </c>
      <c r="C85" s="266">
        <f>62906+1925</f>
        <v>64831</v>
      </c>
      <c r="D85" s="263">
        <f>SUM(B85/52.143/37)</f>
        <v>30.858486355868553</v>
      </c>
      <c r="E85" s="263">
        <f>SUM(C85/52.143/37)</f>
        <v>33.603536221337272</v>
      </c>
      <c r="F85" s="381"/>
    </row>
    <row r="86" spans="1:6" x14ac:dyDescent="0.35">
      <c r="A86" s="23"/>
      <c r="B86" s="266"/>
      <c r="C86" s="266"/>
      <c r="D86" s="263">
        <v>0</v>
      </c>
      <c r="E86" s="263">
        <v>0</v>
      </c>
      <c r="F86" s="381"/>
    </row>
    <row r="87" spans="1:6" x14ac:dyDescent="0.35">
      <c r="A87" s="260" t="s">
        <v>44</v>
      </c>
      <c r="B87" s="266">
        <f>51209+1925</f>
        <v>53134</v>
      </c>
      <c r="C87" s="266">
        <f>56001+1925</f>
        <v>57926</v>
      </c>
      <c r="D87" s="263">
        <f>SUM(B87/52.143/37)</f>
        <v>27.5406872265511</v>
      </c>
      <c r="E87" s="263">
        <f>SUM(C87/52.143/37)</f>
        <v>30.024501228689711</v>
      </c>
      <c r="F87" s="381"/>
    </row>
    <row r="88" spans="1:6" x14ac:dyDescent="0.35">
      <c r="A88" s="23"/>
      <c r="B88" s="266"/>
      <c r="C88" s="266"/>
      <c r="D88" s="263">
        <v>0</v>
      </c>
      <c r="E88" s="263">
        <v>0</v>
      </c>
      <c r="F88" s="381"/>
    </row>
    <row r="89" spans="1:6" x14ac:dyDescent="0.35">
      <c r="A89" s="260" t="s">
        <v>45</v>
      </c>
      <c r="B89" s="266">
        <f>46699+1925</f>
        <v>48624</v>
      </c>
      <c r="C89" s="266">
        <f>51038+1925</f>
        <v>52963</v>
      </c>
      <c r="D89" s="263">
        <f>SUM(B89/52.143/37)</f>
        <v>25.203040909847193</v>
      </c>
      <c r="E89" s="263">
        <f>SUM(C89/52.143/37)</f>
        <v>27.4520536300641</v>
      </c>
      <c r="F89" s="381"/>
    </row>
    <row r="90" spans="1:6" x14ac:dyDescent="0.35">
      <c r="A90" s="23"/>
      <c r="B90" s="266"/>
      <c r="C90" s="266"/>
      <c r="D90" s="263">
        <v>0</v>
      </c>
      <c r="E90" s="263">
        <v>0</v>
      </c>
      <c r="F90" s="381"/>
    </row>
    <row r="91" spans="1:6" x14ac:dyDescent="0.35">
      <c r="A91" s="262" t="s">
        <v>46</v>
      </c>
      <c r="B91" s="272">
        <f>42617+1925</f>
        <v>44542</v>
      </c>
      <c r="C91" s="273">
        <f>46548+1925</f>
        <v>48473</v>
      </c>
      <c r="D91" s="263">
        <f>SUM(B91/52.143/37)</f>
        <v>23.087237746923609</v>
      </c>
      <c r="E91" s="263">
        <f>SUM(C91/52.143/37)</f>
        <v>25.12477381587329</v>
      </c>
      <c r="F91" s="381"/>
    </row>
    <row r="92" spans="1:6" x14ac:dyDescent="0.35">
      <c r="A92" s="7"/>
      <c r="B92" s="7"/>
      <c r="C92" s="10"/>
      <c r="D92" s="10"/>
      <c r="E92" s="16"/>
      <c r="F92" s="241"/>
    </row>
  </sheetData>
  <mergeCells count="1">
    <mergeCell ref="E74:F7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3AF24-0EDC-425E-A48A-B0639C696F9B}">
  <dimension ref="A1:L92"/>
  <sheetViews>
    <sheetView workbookViewId="0">
      <selection sqref="A1:XFD1048576"/>
    </sheetView>
  </sheetViews>
  <sheetFormatPr defaultColWidth="9.1796875" defaultRowHeight="14.5" x14ac:dyDescent="0.35"/>
  <cols>
    <col min="1" max="1" width="31.54296875" style="26" customWidth="1"/>
    <col min="2" max="2" width="21" style="26" customWidth="1"/>
    <col min="3" max="3" width="11.453125" style="26" customWidth="1"/>
    <col min="4" max="4" width="11.26953125" style="26" customWidth="1"/>
    <col min="5" max="5" width="11" style="26" customWidth="1"/>
    <col min="6" max="6" width="11.7265625" style="26" customWidth="1"/>
    <col min="7" max="7" width="11.1796875" style="26" customWidth="1"/>
    <col min="8" max="8" width="8.81640625" style="26" customWidth="1"/>
    <col min="9" max="9" width="10.453125" style="26" bestFit="1" customWidth="1"/>
    <col min="10" max="10" width="9.1796875" style="26"/>
    <col min="11" max="11" width="9.1796875" style="143"/>
    <col min="12" max="16384" width="9.1796875" style="26"/>
  </cols>
  <sheetData>
    <row r="1" spans="1:12" s="392" customFormat="1" ht="18" x14ac:dyDescent="0.4">
      <c r="A1" s="384"/>
      <c r="B1" s="385"/>
      <c r="C1" s="386"/>
      <c r="D1" s="387" t="s">
        <v>89</v>
      </c>
      <c r="E1" s="388"/>
      <c r="F1" s="385"/>
      <c r="G1" s="389" t="s">
        <v>88</v>
      </c>
      <c r="H1" s="390"/>
      <c r="I1" s="391"/>
      <c r="K1" s="393"/>
    </row>
    <row r="2" spans="1:12" x14ac:dyDescent="0.35">
      <c r="A2" s="1"/>
      <c r="B2" s="1"/>
      <c r="C2" s="6"/>
      <c r="D2" s="1"/>
      <c r="E2" s="27"/>
      <c r="F2" s="1"/>
      <c r="G2" s="1"/>
      <c r="H2" s="1"/>
      <c r="I2" s="28"/>
    </row>
    <row r="3" spans="1:12" ht="15" thickBot="1" x14ac:dyDescent="0.4">
      <c r="A3" s="1"/>
      <c r="B3" s="1"/>
      <c r="C3" s="398"/>
      <c r="D3" s="30"/>
      <c r="E3" s="31"/>
      <c r="F3" s="1"/>
      <c r="G3" s="1"/>
      <c r="H3" s="2"/>
      <c r="I3" s="30"/>
      <c r="J3" s="26" t="s">
        <v>90</v>
      </c>
    </row>
    <row r="4" spans="1:12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  <c r="J4" s="26" t="s">
        <v>91</v>
      </c>
    </row>
    <row r="5" spans="1:12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12" ht="15" thickBot="1" x14ac:dyDescent="0.4">
      <c r="A6" s="71"/>
      <c r="B6" s="341" t="s">
        <v>11</v>
      </c>
      <c r="C6" s="207" t="s">
        <v>85</v>
      </c>
      <c r="D6" s="207" t="s">
        <v>86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12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</row>
    <row r="8" spans="1:12" x14ac:dyDescent="0.35">
      <c r="A8" s="6"/>
      <c r="B8" s="361"/>
      <c r="C8" s="370"/>
      <c r="D8" s="371"/>
      <c r="E8" s="372"/>
      <c r="F8" s="372"/>
      <c r="G8" s="373"/>
      <c r="H8" s="374"/>
      <c r="I8" s="311"/>
      <c r="L8" s="200"/>
    </row>
    <row r="9" spans="1:12" ht="15" thickBot="1" x14ac:dyDescent="0.4">
      <c r="A9" s="6"/>
      <c r="B9" s="362">
        <v>2</v>
      </c>
      <c r="C9" s="375">
        <v>23656</v>
      </c>
      <c r="D9" s="376">
        <f>D11</f>
        <v>25430</v>
      </c>
      <c r="E9" s="377">
        <f>E11</f>
        <v>2119.1666666666665</v>
      </c>
      <c r="F9" s="377">
        <f>F11</f>
        <v>487.69729398001647</v>
      </c>
      <c r="G9" s="378">
        <f>G11</f>
        <v>13.181007945405851</v>
      </c>
      <c r="H9" s="379">
        <f>H11</f>
        <v>15.001305142666396</v>
      </c>
      <c r="I9" s="311"/>
      <c r="L9" s="200"/>
    </row>
    <row r="10" spans="1:12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311"/>
      <c r="L10" s="200"/>
    </row>
    <row r="11" spans="1:12" x14ac:dyDescent="0.35">
      <c r="A11" s="6"/>
      <c r="B11" s="342">
        <v>2</v>
      </c>
      <c r="C11" s="180">
        <v>23656</v>
      </c>
      <c r="D11" s="180">
        <f>ROUND((C11*1.075),0)</f>
        <v>25430</v>
      </c>
      <c r="E11" s="157">
        <f>D11/12</f>
        <v>2119.1666666666665</v>
      </c>
      <c r="F11" s="158">
        <f>SUM(D11/52.143)</f>
        <v>487.69729398001647</v>
      </c>
      <c r="G11" s="170">
        <f>SUM($D11/52.143)/37</f>
        <v>13.181007945405851</v>
      </c>
      <c r="H11" s="328">
        <f>SUM($D11/52.143)/37*1.1381</f>
        <v>15.001305142666396</v>
      </c>
      <c r="I11" s="311"/>
      <c r="L11" s="200"/>
    </row>
    <row r="12" spans="1:12" ht="15" thickBot="1" x14ac:dyDescent="0.4">
      <c r="A12" s="6"/>
      <c r="B12" s="343">
        <v>3</v>
      </c>
      <c r="C12" s="223">
        <v>24027</v>
      </c>
      <c r="D12" s="223">
        <f>ROUND((C12*1.075),0)</f>
        <v>25829</v>
      </c>
      <c r="E12" s="151">
        <f>D12/12</f>
        <v>2152.4166666666665</v>
      </c>
      <c r="F12" s="152">
        <f>SUM(D12/52.143)</f>
        <v>495.3493278100608</v>
      </c>
      <c r="G12" s="163">
        <f>SUM($D12/52.143)/37</f>
        <v>13.387819670542184</v>
      </c>
      <c r="H12" s="322">
        <f>SUM($D12/52.143)/37*1.1381</f>
        <v>15.236677567044058</v>
      </c>
      <c r="I12" s="311"/>
      <c r="L12" s="200"/>
    </row>
    <row r="13" spans="1:12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311"/>
      <c r="L13" s="200"/>
    </row>
    <row r="14" spans="1:12" x14ac:dyDescent="0.35">
      <c r="A14" s="6"/>
      <c r="B14" s="342">
        <v>3</v>
      </c>
      <c r="C14" s="180">
        <v>24027</v>
      </c>
      <c r="D14" s="183">
        <f>D12</f>
        <v>25829</v>
      </c>
      <c r="E14" s="285">
        <f>E12</f>
        <v>2152.4166666666665</v>
      </c>
      <c r="F14" s="285">
        <f>F12</f>
        <v>495.3493278100608</v>
      </c>
      <c r="G14" s="284">
        <f>G12</f>
        <v>13.387819670542184</v>
      </c>
      <c r="H14" s="331">
        <f>H12</f>
        <v>15.236677567044058</v>
      </c>
      <c r="I14" s="311"/>
      <c r="L14" s="200"/>
    </row>
    <row r="15" spans="1:12" ht="15" thickBot="1" x14ac:dyDescent="0.4">
      <c r="A15" s="6"/>
      <c r="B15" s="344">
        <v>4</v>
      </c>
      <c r="C15" s="182">
        <v>24404</v>
      </c>
      <c r="D15" s="178">
        <f>ROUND((C15*1.075),0)</f>
        <v>26234</v>
      </c>
      <c r="E15" s="159">
        <f>D15/12</f>
        <v>2186.1666666666665</v>
      </c>
      <c r="F15" s="160">
        <f>SUM(D15/52.143)</f>
        <v>503.11642981800048</v>
      </c>
      <c r="G15" s="172">
        <f>SUM($D15/52.143)/37</f>
        <v>13.597741346432446</v>
      </c>
      <c r="H15" s="333">
        <f>SUM($D15/52.143)/37*1.1381</f>
        <v>15.475589426374766</v>
      </c>
      <c r="I15" s="311"/>
      <c r="L15" s="200"/>
    </row>
    <row r="16" spans="1:12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311"/>
      <c r="L16" s="200"/>
    </row>
    <row r="17" spans="1:12" x14ac:dyDescent="0.35">
      <c r="A17" s="6"/>
      <c r="B17" s="342">
        <v>5</v>
      </c>
      <c r="C17" s="223">
        <v>24790</v>
      </c>
      <c r="D17" s="223">
        <f>ROUND((C17*1.075),0)</f>
        <v>26649</v>
      </c>
      <c r="E17" s="151">
        <f>D17/12</f>
        <v>2220.75</v>
      </c>
      <c r="F17" s="152">
        <f>SUM(D17/52.143)</f>
        <v>511.07531212243254</v>
      </c>
      <c r="G17" s="163">
        <f>SUM($D17/52.143)/37</f>
        <v>13.812846273579257</v>
      </c>
      <c r="H17" s="322">
        <f>SUM($D17/52.143)/37*1.1381</f>
        <v>15.720400343960552</v>
      </c>
      <c r="I17" s="311"/>
      <c r="L17" s="200"/>
    </row>
    <row r="18" spans="1:12" ht="15" thickBot="1" x14ac:dyDescent="0.4">
      <c r="A18" s="6"/>
      <c r="B18" s="344">
        <v>6</v>
      </c>
      <c r="C18" s="182">
        <v>25183</v>
      </c>
      <c r="D18" s="178">
        <f>ROUND((C18*1.075),0)</f>
        <v>27072</v>
      </c>
      <c r="E18" s="159">
        <f>D18/12</f>
        <v>2256</v>
      </c>
      <c r="F18" s="160">
        <f>SUM(D18/52.143)</f>
        <v>519.18761866405839</v>
      </c>
      <c r="G18" s="172">
        <f>SUM($D18/52.143)/37</f>
        <v>14.032097801731307</v>
      </c>
      <c r="H18" s="333">
        <f>SUM($D18/52.143)/37*1.1381</f>
        <v>15.9699305081504</v>
      </c>
      <c r="I18" s="311"/>
      <c r="L18" s="200"/>
    </row>
    <row r="19" spans="1:12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311"/>
      <c r="L19" s="200"/>
    </row>
    <row r="20" spans="1:12" x14ac:dyDescent="0.35">
      <c r="A20" s="6"/>
      <c r="B20" s="342">
        <v>7</v>
      </c>
      <c r="C20" s="180">
        <v>25584</v>
      </c>
      <c r="D20" s="180">
        <f>ROUND((C20*1.075),0)</f>
        <v>27503</v>
      </c>
      <c r="E20" s="157">
        <f>D20/12</f>
        <v>2291.9166666666665</v>
      </c>
      <c r="F20" s="158">
        <f>SUM(D20/52.143)</f>
        <v>527.45334944287822</v>
      </c>
      <c r="G20" s="170">
        <f>SUM($D20/52.143)/37</f>
        <v>14.2554959308886</v>
      </c>
      <c r="H20" s="328">
        <f>SUM($D20/52.143)/37*1.1381</f>
        <v>16.224179918944312</v>
      </c>
      <c r="I20" s="311"/>
      <c r="L20" s="200"/>
    </row>
    <row r="21" spans="1:12" x14ac:dyDescent="0.35">
      <c r="A21" s="6"/>
      <c r="B21" s="342">
        <v>8</v>
      </c>
      <c r="C21" s="175">
        <v>25992</v>
      </c>
      <c r="D21" s="175">
        <f>ROUND((C21*1.075),0)</f>
        <v>27941</v>
      </c>
      <c r="E21" s="149">
        <f>D21/12</f>
        <v>2328.4166666666665</v>
      </c>
      <c r="F21" s="150">
        <f>SUM(D21/52.143)</f>
        <v>535.85332642924266</v>
      </c>
      <c r="G21" s="161">
        <f>SUM($D21/52.143)/37</f>
        <v>14.482522335925477</v>
      </c>
      <c r="H21" s="329">
        <f>SUM($D21/52.143)/37*1.1381</f>
        <v>16.482558670516784</v>
      </c>
      <c r="I21" s="311"/>
      <c r="L21" s="200"/>
    </row>
    <row r="22" spans="1:12" x14ac:dyDescent="0.35">
      <c r="A22" s="6"/>
      <c r="B22" s="342">
        <v>9</v>
      </c>
      <c r="C22" s="175">
        <v>26409</v>
      </c>
      <c r="D22" s="175">
        <f>ROUND((C22*1.075),0)</f>
        <v>28390</v>
      </c>
      <c r="E22" s="149">
        <f>D22/12</f>
        <v>2365.8333333333335</v>
      </c>
      <c r="F22" s="150">
        <f>SUM(D22/52.143)</f>
        <v>544.4642617417486</v>
      </c>
      <c r="G22" s="161">
        <f>SUM($D22/52.143)/37</f>
        <v>14.715250317344557</v>
      </c>
      <c r="H22" s="329">
        <f>SUM($D22/52.143)/37*1.1381</f>
        <v>16.747426386169838</v>
      </c>
      <c r="I22" s="311"/>
      <c r="L22" s="200"/>
    </row>
    <row r="23" spans="1:12" x14ac:dyDescent="0.35">
      <c r="A23" s="6"/>
      <c r="B23" s="345">
        <v>10</v>
      </c>
      <c r="C23" s="223">
        <v>26835</v>
      </c>
      <c r="D23" s="223">
        <f>ROUND((C23*1.075),0)</f>
        <v>28848</v>
      </c>
      <c r="E23" s="151">
        <f>D23/12</f>
        <v>2404</v>
      </c>
      <c r="F23" s="152">
        <f>SUM(D23/52.143)</f>
        <v>553.24779932109777</v>
      </c>
      <c r="G23" s="163">
        <f>SUM($D23/52.143)/37</f>
        <v>14.952643224894535</v>
      </c>
      <c r="H23" s="322">
        <f>SUM($D23/52.143)/37*1.1381</f>
        <v>17.017603254252467</v>
      </c>
      <c r="I23" s="311"/>
      <c r="L23" s="200"/>
    </row>
    <row r="24" spans="1:12" ht="15" thickBot="1" x14ac:dyDescent="0.4">
      <c r="A24" s="6"/>
      <c r="B24" s="344">
        <v>11</v>
      </c>
      <c r="C24" s="182">
        <v>27269</v>
      </c>
      <c r="D24" s="178">
        <f>ROUND((C24*1.075),0)</f>
        <v>29314</v>
      </c>
      <c r="E24" s="159">
        <f>D24/12</f>
        <v>2442.8333333333335</v>
      </c>
      <c r="F24" s="160">
        <f>SUM(D24/52.143)</f>
        <v>562.18476113764075</v>
      </c>
      <c r="G24" s="172">
        <f>SUM($D24/52.143)/37</f>
        <v>15.19418273344975</v>
      </c>
      <c r="H24" s="333">
        <f>SUM($D24/52.143)/37*1.1381</f>
        <v>17.292499368939158</v>
      </c>
      <c r="I24" s="311"/>
      <c r="L24" s="200"/>
    </row>
    <row r="25" spans="1:12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311"/>
      <c r="L25" s="200"/>
    </row>
    <row r="26" spans="1:12" x14ac:dyDescent="0.35">
      <c r="A26" s="6"/>
      <c r="B26" s="342">
        <v>12</v>
      </c>
      <c r="C26" s="180">
        <v>27711</v>
      </c>
      <c r="D26" s="180">
        <f t="shared" ref="D26:D31" si="0">ROUND((C26*1.075),0)</f>
        <v>29789</v>
      </c>
      <c r="E26" s="157">
        <f t="shared" ref="E26:E31" si="1">D26/12</f>
        <v>2482.4166666666665</v>
      </c>
      <c r="F26" s="158">
        <f t="shared" ref="F26:F31" si="2">SUM(D26/52.143)</f>
        <v>571.29432522102684</v>
      </c>
      <c r="G26" s="170">
        <f t="shared" ref="G26:G31" si="3">SUM($D26/52.143)/37</f>
        <v>15.44038716813586</v>
      </c>
      <c r="H26" s="328">
        <f t="shared" ref="H26:H31" si="4">SUM($D26/52.143)/37*1.1381</f>
        <v>17.57270463605542</v>
      </c>
      <c r="I26" s="311"/>
      <c r="L26" s="200"/>
    </row>
    <row r="27" spans="1:12" x14ac:dyDescent="0.35">
      <c r="A27" s="6"/>
      <c r="B27" s="342">
        <v>13</v>
      </c>
      <c r="C27" s="175">
        <v>28163</v>
      </c>
      <c r="D27" s="175">
        <f t="shared" si="0"/>
        <v>30275</v>
      </c>
      <c r="E27" s="149">
        <f t="shared" si="1"/>
        <v>2522.9166666666665</v>
      </c>
      <c r="F27" s="150">
        <f t="shared" si="2"/>
        <v>580.61484763055444</v>
      </c>
      <c r="G27" s="161">
        <f t="shared" si="3"/>
        <v>15.692293179204174</v>
      </c>
      <c r="H27" s="329">
        <f t="shared" si="4"/>
        <v>17.859398867252271</v>
      </c>
      <c r="I27" s="311"/>
      <c r="L27" s="200"/>
    </row>
    <row r="28" spans="1:12" x14ac:dyDescent="0.35">
      <c r="A28" s="6"/>
      <c r="B28" s="342">
        <v>14</v>
      </c>
      <c r="C28" s="175">
        <v>28624</v>
      </c>
      <c r="D28" s="175">
        <f t="shared" si="0"/>
        <v>30771</v>
      </c>
      <c r="E28" s="149">
        <f t="shared" si="1"/>
        <v>2564.25</v>
      </c>
      <c r="F28" s="150">
        <f t="shared" si="2"/>
        <v>590.12715033657446</v>
      </c>
      <c r="G28" s="161">
        <f t="shared" si="3"/>
        <v>15.949382441529039</v>
      </c>
      <c r="H28" s="329">
        <f t="shared" si="4"/>
        <v>18.151992156704196</v>
      </c>
      <c r="I28" s="311"/>
      <c r="L28" s="200"/>
    </row>
    <row r="29" spans="1:12" x14ac:dyDescent="0.35">
      <c r="A29" s="6"/>
      <c r="B29" s="342">
        <v>15</v>
      </c>
      <c r="C29" s="175">
        <v>29093</v>
      </c>
      <c r="D29" s="175">
        <f t="shared" si="0"/>
        <v>31275</v>
      </c>
      <c r="E29" s="149">
        <f t="shared" si="1"/>
        <v>2606.25</v>
      </c>
      <c r="F29" s="150">
        <f t="shared" si="2"/>
        <v>599.79287727978829</v>
      </c>
      <c r="G29" s="161">
        <f t="shared" si="3"/>
        <v>16.210618304859143</v>
      </c>
      <c r="H29" s="329">
        <f t="shared" si="4"/>
        <v>18.449304692760187</v>
      </c>
      <c r="I29" s="311"/>
      <c r="L29" s="200"/>
    </row>
    <row r="30" spans="1:12" x14ac:dyDescent="0.35">
      <c r="A30" s="6"/>
      <c r="B30" s="342">
        <v>16</v>
      </c>
      <c r="C30" s="223">
        <v>29572</v>
      </c>
      <c r="D30" s="223">
        <f t="shared" si="0"/>
        <v>31790</v>
      </c>
      <c r="E30" s="151">
        <f t="shared" si="1"/>
        <v>2649.1666666666665</v>
      </c>
      <c r="F30" s="152">
        <f t="shared" si="2"/>
        <v>609.66956254914373</v>
      </c>
      <c r="G30" s="163">
        <f t="shared" si="3"/>
        <v>16.477555744571454</v>
      </c>
      <c r="H30" s="322">
        <f t="shared" si="4"/>
        <v>18.753106192896769</v>
      </c>
      <c r="I30" s="311"/>
      <c r="L30" s="200"/>
    </row>
    <row r="31" spans="1:12" ht="15" thickBot="1" x14ac:dyDescent="0.4">
      <c r="A31" s="6"/>
      <c r="B31" s="345">
        <v>17</v>
      </c>
      <c r="C31" s="182">
        <v>30060</v>
      </c>
      <c r="D31" s="182">
        <f t="shared" si="0"/>
        <v>32315</v>
      </c>
      <c r="E31" s="159">
        <f t="shared" si="1"/>
        <v>2692.9166666666665</v>
      </c>
      <c r="F31" s="160">
        <f t="shared" si="2"/>
        <v>619.73802811499149</v>
      </c>
      <c r="G31" s="172">
        <f t="shared" si="3"/>
        <v>16.749676435540312</v>
      </c>
      <c r="H31" s="333">
        <f t="shared" si="4"/>
        <v>19.062806751288427</v>
      </c>
      <c r="I31" s="311"/>
      <c r="L31" s="200"/>
    </row>
    <row r="32" spans="1:12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311"/>
      <c r="L32" s="200"/>
    </row>
    <row r="33" spans="1:12" s="1" customFormat="1" ht="15.75" customHeight="1" x14ac:dyDescent="0.35">
      <c r="B33" s="346">
        <v>18</v>
      </c>
      <c r="C33" s="339">
        <v>30559</v>
      </c>
      <c r="D33" s="296">
        <f>ROUND((C33*1.075),0)</f>
        <v>32851</v>
      </c>
      <c r="E33" s="297">
        <f>D33/12</f>
        <v>2737.5833333333335</v>
      </c>
      <c r="F33" s="297">
        <f>SUM(D33/52.143)</f>
        <v>630.01745200698076</v>
      </c>
      <c r="G33" s="298">
        <f>SUM($D33/52.143)/37</f>
        <v>17.027498702891371</v>
      </c>
      <c r="H33" s="336">
        <f>SUM($D33/52.143)/37*1.1381</f>
        <v>19.378996273760666</v>
      </c>
      <c r="I33" s="311"/>
      <c r="K33" s="380"/>
      <c r="L33" s="200"/>
    </row>
    <row r="34" spans="1:12" x14ac:dyDescent="0.35">
      <c r="A34" s="6"/>
      <c r="B34" s="342">
        <v>19</v>
      </c>
      <c r="C34" s="180">
        <v>31067</v>
      </c>
      <c r="D34" s="180">
        <f>ROUND((C34*1.075),0)</f>
        <v>33397</v>
      </c>
      <c r="E34" s="157">
        <f>D34/12</f>
        <v>2783.0833333333335</v>
      </c>
      <c r="F34" s="158">
        <f>SUM(D34/52.143)</f>
        <v>640.48865619546245</v>
      </c>
      <c r="G34" s="170">
        <f>SUM($D34/52.143)/37</f>
        <v>17.310504221498984</v>
      </c>
      <c r="H34" s="328">
        <f>SUM($D34/52.143)/37*1.1381</f>
        <v>19.701084854487991</v>
      </c>
      <c r="I34" s="311"/>
      <c r="L34" s="200"/>
    </row>
    <row r="35" spans="1:12" x14ac:dyDescent="0.35">
      <c r="A35" s="6"/>
      <c r="B35" s="342">
        <v>20</v>
      </c>
      <c r="C35" s="175">
        <v>31586</v>
      </c>
      <c r="D35" s="175">
        <f>ROUND((C35*1.075),0)</f>
        <v>33955</v>
      </c>
      <c r="E35" s="149">
        <f>D35/12</f>
        <v>2829.5833333333335</v>
      </c>
      <c r="F35" s="150">
        <f>SUM(D35/52.143)</f>
        <v>651.18999673973497</v>
      </c>
      <c r="G35" s="161">
        <f>SUM($D35/52.143)/37</f>
        <v>17.599729641614459</v>
      </c>
      <c r="H35" s="329">
        <f>SUM($D35/52.143)/37*1.1381</f>
        <v>20.030252305121415</v>
      </c>
      <c r="I35" s="311"/>
      <c r="L35" s="200"/>
    </row>
    <row r="36" spans="1:12" x14ac:dyDescent="0.35">
      <c r="A36" s="6"/>
      <c r="B36" s="345">
        <v>21</v>
      </c>
      <c r="C36" s="223">
        <v>32115</v>
      </c>
      <c r="D36" s="223">
        <f>ROUND((C36*1.075),0)</f>
        <v>34524</v>
      </c>
      <c r="E36" s="151">
        <f>D36/12</f>
        <v>2877</v>
      </c>
      <c r="F36" s="152">
        <f>SUM(D36/52.143)</f>
        <v>662.10229561014899</v>
      </c>
      <c r="G36" s="163">
        <f>SUM($D36/52.143)/37</f>
        <v>17.894656638112135</v>
      </c>
      <c r="H36" s="322">
        <f>SUM($D36/52.143)/37*1.1381</f>
        <v>20.365908719835417</v>
      </c>
      <c r="I36" s="311"/>
      <c r="L36" s="200"/>
    </row>
    <row r="37" spans="1:12" ht="15" thickBot="1" x14ac:dyDescent="0.4">
      <c r="A37" s="6"/>
      <c r="B37" s="344">
        <v>22</v>
      </c>
      <c r="C37" s="182">
        <v>32654</v>
      </c>
      <c r="D37" s="182">
        <f>ROUND((C37*1.075),0)</f>
        <v>35103</v>
      </c>
      <c r="E37" s="159">
        <f>D37/12</f>
        <v>2925.25</v>
      </c>
      <c r="F37" s="160">
        <f>SUM(D37/52.143)</f>
        <v>673.20637477705543</v>
      </c>
      <c r="G37" s="172">
        <f>SUM($D37/52.143)/37</f>
        <v>18.194766885866365</v>
      </c>
      <c r="H37" s="333">
        <f>SUM($D37/52.143)/37*1.1381</f>
        <v>20.707464192804508</v>
      </c>
      <c r="I37" s="311"/>
      <c r="L37" s="200"/>
    </row>
    <row r="38" spans="1:12" ht="15" thickBot="1" x14ac:dyDescent="0.4">
      <c r="A38" s="6"/>
      <c r="B38" s="345"/>
      <c r="C38" s="64"/>
      <c r="D38" s="64"/>
      <c r="E38" s="65"/>
      <c r="F38" s="65"/>
      <c r="G38" s="65"/>
      <c r="H38" s="66"/>
      <c r="I38" s="311"/>
      <c r="L38" s="200"/>
    </row>
    <row r="39" spans="1:12" x14ac:dyDescent="0.35">
      <c r="B39" s="360" t="s">
        <v>22</v>
      </c>
      <c r="C39" s="347"/>
      <c r="D39" s="348" t="s">
        <v>20</v>
      </c>
      <c r="E39" s="349" t="s">
        <v>49</v>
      </c>
      <c r="F39" s="350"/>
      <c r="G39" s="351" t="s">
        <v>21</v>
      </c>
      <c r="H39" s="352" t="s">
        <v>48</v>
      </c>
      <c r="I39" s="311"/>
      <c r="L39" s="200"/>
    </row>
    <row r="40" spans="1:12" ht="15" thickBot="1" x14ac:dyDescent="0.4">
      <c r="A40" s="1"/>
      <c r="B40" s="394">
        <v>8</v>
      </c>
      <c r="C40" s="395">
        <v>25992</v>
      </c>
      <c r="D40" s="354">
        <v>706</v>
      </c>
      <c r="E40" s="396">
        <f>C40+D40</f>
        <v>26698</v>
      </c>
      <c r="F40" s="356"/>
      <c r="G40" s="357">
        <f>SUM(C40+D40)/37/52.143</f>
        <v>13.838244204736352</v>
      </c>
      <c r="H40" s="358">
        <f>E40/52.143/37*1.1381</f>
        <v>15.749305729410439</v>
      </c>
      <c r="I40" s="311"/>
      <c r="J40" s="311"/>
      <c r="K40" s="311"/>
      <c r="L40" s="311"/>
    </row>
    <row r="41" spans="1:12" x14ac:dyDescent="0.35">
      <c r="A41" s="1"/>
      <c r="B41" s="70" t="s">
        <v>87</v>
      </c>
      <c r="C41" s="5"/>
      <c r="D41" s="1"/>
      <c r="E41" s="1"/>
      <c r="F41" s="1"/>
      <c r="G41" s="1"/>
      <c r="H41" s="4"/>
      <c r="I41" s="1"/>
    </row>
    <row r="42" spans="1:12" x14ac:dyDescent="0.35">
      <c r="A42" s="70" t="s">
        <v>47</v>
      </c>
      <c r="C42" s="71"/>
      <c r="D42" s="72"/>
      <c r="E42" s="73"/>
      <c r="F42" s="74"/>
      <c r="G42" s="74"/>
      <c r="H42" s="75"/>
      <c r="I42" s="2"/>
    </row>
    <row r="43" spans="1:12" x14ac:dyDescent="0.35">
      <c r="A43" s="76"/>
      <c r="B43" s="76"/>
      <c r="C43" s="71"/>
      <c r="D43" s="74"/>
      <c r="E43" s="73"/>
      <c r="F43" s="74"/>
      <c r="G43" s="74"/>
      <c r="H43" s="75"/>
      <c r="I43" s="1"/>
    </row>
    <row r="44" spans="1:12" x14ac:dyDescent="0.35">
      <c r="A44" s="77" t="s">
        <v>60</v>
      </c>
      <c r="C44" s="6"/>
      <c r="D44" s="75"/>
      <c r="E44" s="29"/>
      <c r="F44" s="75"/>
      <c r="G44" s="75"/>
      <c r="H44" s="75"/>
      <c r="I44" s="1"/>
    </row>
    <row r="45" spans="1:12" x14ac:dyDescent="0.35">
      <c r="A45" s="1"/>
      <c r="B45" s="1"/>
      <c r="C45" s="6"/>
      <c r="D45" s="75"/>
      <c r="E45" s="78"/>
      <c r="F45" s="29"/>
      <c r="G45" s="29"/>
      <c r="H45" s="29"/>
      <c r="I45" s="1"/>
    </row>
    <row r="46" spans="1:12" x14ac:dyDescent="0.35">
      <c r="A46" s="224" t="s">
        <v>24</v>
      </c>
      <c r="B46" s="235" t="s">
        <v>25</v>
      </c>
      <c r="C46" s="236"/>
      <c r="D46" s="237" t="s">
        <v>26</v>
      </c>
      <c r="F46" s="29"/>
      <c r="G46" s="29"/>
      <c r="H46" s="29"/>
      <c r="I46" s="1"/>
    </row>
    <row r="47" spans="1:12" x14ac:dyDescent="0.35">
      <c r="A47" s="221"/>
      <c r="B47" s="238"/>
      <c r="C47" s="239"/>
      <c r="D47" s="240" t="s">
        <v>27</v>
      </c>
      <c r="F47" s="29"/>
      <c r="G47" s="29"/>
      <c r="H47" s="29"/>
      <c r="I47" s="1"/>
    </row>
    <row r="48" spans="1:12" x14ac:dyDescent="0.35">
      <c r="A48" s="1"/>
      <c r="B48" s="6"/>
      <c r="C48" s="75"/>
      <c r="D48" s="87"/>
      <c r="F48" s="29"/>
      <c r="G48" s="29"/>
      <c r="H48" s="29"/>
      <c r="I48" s="1"/>
    </row>
    <row r="49" spans="1:12" x14ac:dyDescent="0.35">
      <c r="A49" s="214" t="s">
        <v>28</v>
      </c>
      <c r="B49" s="89" t="s">
        <v>29</v>
      </c>
      <c r="C49" s="90">
        <v>10000</v>
      </c>
      <c r="D49" s="91">
        <v>45</v>
      </c>
      <c r="F49" s="29"/>
      <c r="G49" s="29"/>
      <c r="H49" s="29"/>
      <c r="I49" s="1"/>
    </row>
    <row r="50" spans="1:12" x14ac:dyDescent="0.35">
      <c r="A50" s="1"/>
      <c r="B50" s="92" t="s">
        <v>30</v>
      </c>
      <c r="C50" s="90">
        <v>10000</v>
      </c>
      <c r="D50" s="93">
        <v>25</v>
      </c>
      <c r="F50" s="29"/>
      <c r="G50" s="29"/>
      <c r="H50" s="29"/>
      <c r="I50" s="1"/>
    </row>
    <row r="51" spans="1:12" x14ac:dyDescent="0.35">
      <c r="A51" s="1"/>
      <c r="B51" s="1"/>
      <c r="C51" s="6"/>
      <c r="D51" s="1"/>
      <c r="E51" s="78"/>
      <c r="F51" s="29"/>
      <c r="G51" s="29"/>
      <c r="H51" s="29"/>
      <c r="I51" s="2"/>
    </row>
    <row r="52" spans="1:12" x14ac:dyDescent="0.35">
      <c r="A52" s="7"/>
      <c r="B52" s="7"/>
      <c r="C52" s="7"/>
      <c r="D52" s="10"/>
      <c r="E52" s="16"/>
      <c r="F52" s="241"/>
      <c r="G52" s="10"/>
      <c r="H52" s="242"/>
      <c r="I52" s="7"/>
    </row>
    <row r="53" spans="1:12" x14ac:dyDescent="0.35">
      <c r="A53" s="301" t="s">
        <v>31</v>
      </c>
      <c r="B53" s="116" t="s">
        <v>92</v>
      </c>
      <c r="C53" s="74"/>
      <c r="D53" s="300"/>
      <c r="E53" s="245"/>
      <c r="G53" s="7" t="s">
        <v>32</v>
      </c>
    </row>
    <row r="54" spans="1:12" x14ac:dyDescent="0.35">
      <c r="A54" s="1"/>
      <c r="B54" s="101"/>
      <c r="C54" s="75"/>
      <c r="D54" s="246"/>
      <c r="E54" s="245"/>
      <c r="F54" s="75"/>
      <c r="G54" s="247"/>
      <c r="H54" s="7"/>
    </row>
    <row r="55" spans="1:12" x14ac:dyDescent="0.35">
      <c r="A55" s="202" t="s">
        <v>33</v>
      </c>
      <c r="B55" s="203" t="s">
        <v>8</v>
      </c>
      <c r="C55" s="203" t="s">
        <v>4</v>
      </c>
      <c r="D55" s="203" t="s">
        <v>5</v>
      </c>
      <c r="E55" s="204" t="s">
        <v>6</v>
      </c>
      <c r="F55" s="205" t="s">
        <v>7</v>
      </c>
      <c r="G55" s="12"/>
    </row>
    <row r="56" spans="1:12" x14ac:dyDescent="0.35">
      <c r="A56" s="211"/>
      <c r="B56" s="212" t="s">
        <v>11</v>
      </c>
      <c r="C56" s="212" t="s">
        <v>9</v>
      </c>
      <c r="D56" s="302" t="s">
        <v>9</v>
      </c>
      <c r="E56" s="303" t="s">
        <v>9</v>
      </c>
      <c r="F56" s="304" t="s">
        <v>10</v>
      </c>
      <c r="G56" s="13" t="s">
        <v>34</v>
      </c>
      <c r="I56" s="397"/>
    </row>
    <row r="57" spans="1:12" x14ac:dyDescent="0.35">
      <c r="A57" s="1"/>
      <c r="B57" s="6"/>
      <c r="C57" s="14" t="s">
        <v>14</v>
      </c>
      <c r="D57" s="14" t="s">
        <v>14</v>
      </c>
      <c r="E57" s="14" t="s">
        <v>14</v>
      </c>
      <c r="F57" s="305" t="s">
        <v>14</v>
      </c>
      <c r="G57" s="306" t="s">
        <v>14</v>
      </c>
      <c r="I57" s="397"/>
    </row>
    <row r="58" spans="1:12" x14ac:dyDescent="0.35">
      <c r="A58" s="249">
        <v>8</v>
      </c>
      <c r="B58" s="109">
        <v>1</v>
      </c>
      <c r="C58" s="175">
        <v>37128</v>
      </c>
      <c r="D58" s="148">
        <f>C58/12</f>
        <v>3094</v>
      </c>
      <c r="E58" s="149">
        <f>SUM(C58/52.143)</f>
        <v>712.04188481675396</v>
      </c>
      <c r="F58" s="174">
        <f>SUM(C58/52.143)/37</f>
        <v>19.244375265317675</v>
      </c>
      <c r="G58" s="234">
        <f t="shared" ref="G58:G67" si="5">SUM(C58*113.81%)</f>
        <v>42255.376800000005</v>
      </c>
      <c r="I58" s="397"/>
      <c r="J58" s="200"/>
      <c r="L58" s="200"/>
    </row>
    <row r="59" spans="1:12" x14ac:dyDescent="0.35">
      <c r="A59" s="110"/>
      <c r="B59" s="111">
        <v>2</v>
      </c>
      <c r="C59" s="175">
        <v>37990</v>
      </c>
      <c r="D59" s="148">
        <f t="shared" ref="D59:D66" si="6">C59/12</f>
        <v>3165.8333333333335</v>
      </c>
      <c r="E59" s="149">
        <f t="shared" ref="E59:E67" si="7">SUM(C59/52.143)</f>
        <v>728.57334637439351</v>
      </c>
      <c r="F59" s="174">
        <f t="shared" ref="F59:F67" si="8">SUM(C59/52.143)/37</f>
        <v>19.691171523632256</v>
      </c>
      <c r="G59" s="234">
        <f t="shared" si="5"/>
        <v>43236.419000000002</v>
      </c>
      <c r="I59" s="397"/>
      <c r="J59" s="200"/>
      <c r="L59" s="200"/>
    </row>
    <row r="60" spans="1:12" x14ac:dyDescent="0.35">
      <c r="A60" s="110"/>
      <c r="B60" s="111">
        <v>3</v>
      </c>
      <c r="C60" s="175">
        <v>38845</v>
      </c>
      <c r="D60" s="148">
        <f t="shared" si="6"/>
        <v>3237.0833333333335</v>
      </c>
      <c r="E60" s="149">
        <f t="shared" si="7"/>
        <v>744.97056172448845</v>
      </c>
      <c r="F60" s="174">
        <f t="shared" si="8"/>
        <v>20.134339506067256</v>
      </c>
      <c r="G60" s="234">
        <f t="shared" si="5"/>
        <v>44209.494500000001</v>
      </c>
      <c r="I60" s="397"/>
      <c r="J60" s="200"/>
      <c r="L60" s="200"/>
    </row>
    <row r="61" spans="1:12" x14ac:dyDescent="0.35">
      <c r="A61" s="110"/>
      <c r="B61" s="111">
        <v>4</v>
      </c>
      <c r="C61" s="175">
        <v>39843</v>
      </c>
      <c r="D61" s="148">
        <f t="shared" si="6"/>
        <v>3320.25</v>
      </c>
      <c r="E61" s="149">
        <f t="shared" si="7"/>
        <v>764.11023531442379</v>
      </c>
      <c r="F61" s="174">
        <f t="shared" si="8"/>
        <v>20.651627981470913</v>
      </c>
      <c r="G61" s="234">
        <f t="shared" si="5"/>
        <v>45345.318300000006</v>
      </c>
      <c r="I61" s="397"/>
      <c r="J61" s="200"/>
      <c r="L61" s="200"/>
    </row>
    <row r="62" spans="1:12" x14ac:dyDescent="0.35">
      <c r="A62" s="110"/>
      <c r="B62" s="111">
        <v>5</v>
      </c>
      <c r="C62" s="175">
        <v>40845</v>
      </c>
      <c r="D62" s="148">
        <f t="shared" si="6"/>
        <v>3403.75</v>
      </c>
      <c r="E62" s="149">
        <f t="shared" si="7"/>
        <v>783.32662102295615</v>
      </c>
      <c r="F62" s="174">
        <f t="shared" si="8"/>
        <v>21.170989757377193</v>
      </c>
      <c r="G62" s="234">
        <f t="shared" si="5"/>
        <v>46485.694500000005</v>
      </c>
      <c r="I62" s="397"/>
      <c r="J62" s="200"/>
      <c r="L62" s="200"/>
    </row>
    <row r="63" spans="1:12" x14ac:dyDescent="0.35">
      <c r="A63" s="249">
        <v>7</v>
      </c>
      <c r="B63" s="109">
        <v>1</v>
      </c>
      <c r="C63" s="175">
        <v>41557</v>
      </c>
      <c r="D63" s="148">
        <f t="shared" si="6"/>
        <v>3463.0833333333335</v>
      </c>
      <c r="E63" s="149">
        <f t="shared" si="7"/>
        <v>796.98137813321057</v>
      </c>
      <c r="F63" s="174">
        <f t="shared" si="8"/>
        <v>21.540037246843529</v>
      </c>
      <c r="G63" s="234">
        <f t="shared" si="5"/>
        <v>47296.021700000005</v>
      </c>
      <c r="I63" s="397"/>
      <c r="J63" s="200"/>
      <c r="L63" s="200"/>
    </row>
    <row r="64" spans="1:12" x14ac:dyDescent="0.35">
      <c r="A64" s="110"/>
      <c r="B64" s="111">
        <v>2</v>
      </c>
      <c r="C64" s="175">
        <v>42558</v>
      </c>
      <c r="D64" s="148">
        <f t="shared" si="6"/>
        <v>3546.5</v>
      </c>
      <c r="E64" s="149">
        <f t="shared" si="7"/>
        <v>816.17858581209362</v>
      </c>
      <c r="F64" s="174">
        <f t="shared" si="8"/>
        <v>22.058880697624151</v>
      </c>
      <c r="G64" s="234">
        <f t="shared" si="5"/>
        <v>48435.259800000007</v>
      </c>
      <c r="I64" s="397"/>
      <c r="J64" s="200"/>
      <c r="L64" s="200"/>
    </row>
    <row r="65" spans="1:12" x14ac:dyDescent="0.35">
      <c r="A65" s="110"/>
      <c r="B65" s="111">
        <v>3</v>
      </c>
      <c r="C65" s="175">
        <v>43558</v>
      </c>
      <c r="D65" s="148">
        <f t="shared" si="6"/>
        <v>3629.8333333333335</v>
      </c>
      <c r="E65" s="149">
        <f t="shared" si="7"/>
        <v>835.35661546132746</v>
      </c>
      <c r="F65" s="174">
        <f t="shared" si="8"/>
        <v>22.577205823279122</v>
      </c>
      <c r="G65" s="234">
        <f t="shared" si="5"/>
        <v>49573.359800000006</v>
      </c>
      <c r="I65" s="397"/>
      <c r="J65" s="200"/>
      <c r="L65" s="200"/>
    </row>
    <row r="66" spans="1:12" x14ac:dyDescent="0.35">
      <c r="A66" s="110"/>
      <c r="B66" s="111">
        <v>4</v>
      </c>
      <c r="C66" s="175">
        <v>44557</v>
      </c>
      <c r="D66" s="148">
        <f t="shared" si="6"/>
        <v>3713.0833333333335</v>
      </c>
      <c r="E66" s="149">
        <f t="shared" si="7"/>
        <v>854.51546708091212</v>
      </c>
      <c r="F66" s="174">
        <f t="shared" si="8"/>
        <v>23.095012623808437</v>
      </c>
      <c r="G66" s="234">
        <f t="shared" si="5"/>
        <v>50710.321700000008</v>
      </c>
      <c r="I66" s="397"/>
      <c r="J66" s="200"/>
      <c r="L66" s="200"/>
    </row>
    <row r="67" spans="1:12" x14ac:dyDescent="0.35">
      <c r="A67" s="110"/>
      <c r="B67" s="111">
        <v>5</v>
      </c>
      <c r="C67" s="175">
        <v>45522</v>
      </c>
      <c r="D67" s="148">
        <f>C67/12</f>
        <v>3793.5</v>
      </c>
      <c r="E67" s="149">
        <f t="shared" si="7"/>
        <v>873.02226569242271</v>
      </c>
      <c r="F67" s="174">
        <f t="shared" si="8"/>
        <v>23.59519637006548</v>
      </c>
      <c r="G67" s="234">
        <f t="shared" si="5"/>
        <v>51808.588200000006</v>
      </c>
      <c r="I67" s="397"/>
      <c r="J67" s="200"/>
      <c r="L67" s="200"/>
    </row>
    <row r="68" spans="1:12" x14ac:dyDescent="0.35">
      <c r="A68" s="1"/>
      <c r="B68" s="6"/>
      <c r="C68" s="112"/>
      <c r="D68" s="58"/>
      <c r="E68" s="58"/>
      <c r="F68" s="66"/>
      <c r="G68" s="248"/>
      <c r="H68" s="7"/>
    </row>
    <row r="69" spans="1:12" x14ac:dyDescent="0.35">
      <c r="A69" s="253"/>
      <c r="B69" s="253"/>
      <c r="C69" s="6"/>
      <c r="D69" s="67"/>
      <c r="E69" s="254"/>
      <c r="F69" s="255"/>
      <c r="G69" s="66"/>
      <c r="H69" s="248"/>
      <c r="I69" s="7"/>
    </row>
    <row r="70" spans="1:12" x14ac:dyDescent="0.35">
      <c r="A70" s="7"/>
      <c r="B70" s="7"/>
      <c r="C70" s="116"/>
      <c r="D70" s="117"/>
      <c r="E70" s="16"/>
      <c r="F70" s="256"/>
      <c r="G70" s="257"/>
      <c r="H70" s="242"/>
      <c r="I70" s="7"/>
    </row>
    <row r="73" spans="1:12" x14ac:dyDescent="0.35">
      <c r="A73" s="125" t="s">
        <v>35</v>
      </c>
      <c r="B73" s="116" t="s">
        <v>92</v>
      </c>
      <c r="C73" s="126"/>
      <c r="D73" s="127"/>
    </row>
    <row r="74" spans="1:12" x14ac:dyDescent="0.35">
      <c r="A74" s="125"/>
      <c r="B74" s="125"/>
      <c r="C74" s="126"/>
      <c r="D74" s="127"/>
      <c r="E74" s="421"/>
      <c r="F74" s="421"/>
    </row>
    <row r="75" spans="1:12" x14ac:dyDescent="0.35">
      <c r="A75" s="129" t="s">
        <v>36</v>
      </c>
      <c r="B75" s="7"/>
      <c r="D75" s="127"/>
      <c r="E75" s="421"/>
      <c r="F75" s="421"/>
    </row>
    <row r="76" spans="1:12" ht="26.5" x14ac:dyDescent="0.35">
      <c r="A76" s="7"/>
      <c r="B76" s="7"/>
      <c r="C76" s="117"/>
      <c r="D76" s="288" t="s">
        <v>37</v>
      </c>
      <c r="E76" s="288" t="s">
        <v>37</v>
      </c>
    </row>
    <row r="77" spans="1:12" x14ac:dyDescent="0.35">
      <c r="A77" s="260" t="s">
        <v>33</v>
      </c>
      <c r="B77" s="260" t="s">
        <v>38</v>
      </c>
      <c r="C77" s="261" t="s">
        <v>39</v>
      </c>
      <c r="D77" s="286" t="s">
        <v>38</v>
      </c>
      <c r="E77" s="287" t="s">
        <v>39</v>
      </c>
    </row>
    <row r="78" spans="1:12" x14ac:dyDescent="0.35">
      <c r="A78" s="136"/>
      <c r="B78" s="137"/>
      <c r="C78" s="138"/>
      <c r="D78" s="263"/>
      <c r="E78" s="264"/>
    </row>
    <row r="79" spans="1:12" x14ac:dyDescent="0.35">
      <c r="A79" s="265" t="s">
        <v>40</v>
      </c>
      <c r="B79" s="266">
        <v>85958</v>
      </c>
      <c r="C79" s="266">
        <v>113925</v>
      </c>
      <c r="D79" s="263">
        <f>SUM(B79/52.143/37)</f>
        <v>44.554191151049793</v>
      </c>
      <c r="E79" s="263">
        <f>SUM(C79/52.143/37)</f>
        <v>59.050189940242291</v>
      </c>
      <c r="F79" s="381"/>
      <c r="G79" s="399"/>
    </row>
    <row r="80" spans="1:12" x14ac:dyDescent="0.35">
      <c r="A80" s="136"/>
      <c r="B80" s="266"/>
      <c r="C80" s="266"/>
      <c r="D80" s="263">
        <v>0</v>
      </c>
      <c r="E80" s="263">
        <v>0</v>
      </c>
      <c r="F80" s="381"/>
    </row>
    <row r="81" spans="1:7" x14ac:dyDescent="0.35">
      <c r="A81" s="260" t="s">
        <v>41</v>
      </c>
      <c r="B81" s="266">
        <v>78970</v>
      </c>
      <c r="C81" s="266">
        <v>91550</v>
      </c>
      <c r="D81" s="263">
        <f>SUM(B81/52.143/37)</f>
        <v>40.93213517297287</v>
      </c>
      <c r="E81" s="263">
        <f>SUM(C81/52.143/37)</f>
        <v>47.452665253712368</v>
      </c>
      <c r="F81" s="381"/>
      <c r="G81" s="399"/>
    </row>
    <row r="82" spans="1:7" x14ac:dyDescent="0.35">
      <c r="A82" s="21"/>
      <c r="B82" s="266"/>
      <c r="C82" s="266"/>
      <c r="D82" s="263">
        <v>0</v>
      </c>
      <c r="E82" s="263">
        <v>0</v>
      </c>
      <c r="F82" s="381"/>
    </row>
    <row r="83" spans="1:7" x14ac:dyDescent="0.35">
      <c r="A83" s="260" t="s">
        <v>42</v>
      </c>
      <c r="B83" s="266">
        <v>70679</v>
      </c>
      <c r="C83" s="266">
        <v>77184</v>
      </c>
      <c r="D83" s="263">
        <f>SUM(B83/52.143/37)</f>
        <v>36.634701556167528</v>
      </c>
      <c r="E83" s="263">
        <f>SUM(C83/52.143/37)</f>
        <v>40.006406498553098</v>
      </c>
      <c r="F83" s="381"/>
      <c r="G83" s="399"/>
    </row>
    <row r="84" spans="1:7" x14ac:dyDescent="0.35">
      <c r="A84" s="23"/>
      <c r="B84" s="266"/>
      <c r="C84" s="266"/>
      <c r="D84" s="263">
        <v>0</v>
      </c>
      <c r="E84" s="263">
        <v>0</v>
      </c>
      <c r="F84" s="381"/>
    </row>
    <row r="85" spans="1:7" x14ac:dyDescent="0.35">
      <c r="A85" s="260" t="s">
        <v>43</v>
      </c>
      <c r="B85" s="266">
        <v>63392</v>
      </c>
      <c r="C85" s="266">
        <v>69030</v>
      </c>
      <c r="D85" s="263">
        <f>SUM(B85/52.143/37)</f>
        <v>32.857666365519769</v>
      </c>
      <c r="E85" s="263">
        <f>SUM(C85/52.143/37)</f>
        <v>35.779983423962477</v>
      </c>
      <c r="F85" s="381"/>
      <c r="G85" s="399"/>
    </row>
    <row r="86" spans="1:7" x14ac:dyDescent="0.35">
      <c r="A86" s="23"/>
      <c r="B86" s="266"/>
      <c r="C86" s="266"/>
      <c r="D86" s="263">
        <v>0</v>
      </c>
      <c r="E86" s="263">
        <v>0</v>
      </c>
      <c r="F86" s="381"/>
    </row>
    <row r="87" spans="1:7" x14ac:dyDescent="0.35">
      <c r="A87" s="260" t="s">
        <v>44</v>
      </c>
      <c r="B87" s="266">
        <v>56576</v>
      </c>
      <c r="C87" s="266">
        <v>61679</v>
      </c>
      <c r="D87" s="263">
        <f>SUM(B87/52.143/37)</f>
        <v>29.324762309055501</v>
      </c>
      <c r="E87" s="263">
        <f>SUM(C87/52.143/37)</f>
        <v>31.969775425272804</v>
      </c>
      <c r="F87" s="381"/>
      <c r="G87" s="399"/>
    </row>
    <row r="88" spans="1:7" x14ac:dyDescent="0.35">
      <c r="A88" s="23"/>
      <c r="B88" s="266"/>
      <c r="C88" s="266"/>
      <c r="D88" s="263">
        <v>0</v>
      </c>
      <c r="E88" s="263">
        <v>0</v>
      </c>
      <c r="F88" s="381"/>
    </row>
    <row r="89" spans="1:7" x14ac:dyDescent="0.35">
      <c r="A89" s="260" t="s">
        <v>45</v>
      </c>
      <c r="B89" s="266">
        <v>51839</v>
      </c>
      <c r="C89" s="266">
        <v>56394</v>
      </c>
      <c r="D89" s="263">
        <f>SUM(B89/52.143/37)</f>
        <v>26.869456188827915</v>
      </c>
      <c r="E89" s="263">
        <f>SUM(C89/52.143/37)</f>
        <v>29.2304271361863</v>
      </c>
      <c r="F89" s="381"/>
      <c r="G89" s="381"/>
    </row>
    <row r="90" spans="1:7" x14ac:dyDescent="0.35">
      <c r="A90" s="23"/>
      <c r="B90" s="266"/>
      <c r="C90" s="266"/>
      <c r="D90" s="263">
        <v>0</v>
      </c>
      <c r="E90" s="263">
        <v>0</v>
      </c>
      <c r="F90" s="381"/>
    </row>
    <row r="91" spans="1:7" x14ac:dyDescent="0.35">
      <c r="A91" s="262" t="s">
        <v>46</v>
      </c>
      <c r="B91" s="272">
        <v>47757</v>
      </c>
      <c r="C91" s="273">
        <v>51688</v>
      </c>
      <c r="D91" s="263">
        <f>SUM(B91/52.143/37)</f>
        <v>24.753653025904335</v>
      </c>
      <c r="E91" s="263">
        <f>SUM(C91/52.143/37)</f>
        <v>26.791189094854019</v>
      </c>
      <c r="F91" s="381"/>
      <c r="G91" s="381"/>
    </row>
    <row r="92" spans="1:7" x14ac:dyDescent="0.35">
      <c r="A92" s="7"/>
      <c r="B92" s="7"/>
      <c r="C92" s="10"/>
      <c r="D92" s="10"/>
      <c r="E92" s="16"/>
      <c r="F92" s="241"/>
    </row>
  </sheetData>
  <mergeCells count="1">
    <mergeCell ref="E74:F7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A4473-F108-4283-9034-535EBF6CA760}">
  <dimension ref="A1:I1495"/>
  <sheetViews>
    <sheetView topLeftCell="A71" zoomScaleNormal="100" workbookViewId="0">
      <selection activeCell="F79" sqref="F79"/>
    </sheetView>
  </sheetViews>
  <sheetFormatPr defaultColWidth="9.1796875" defaultRowHeight="14.5" x14ac:dyDescent="0.35"/>
  <cols>
    <col min="1" max="1" width="22.7265625" style="26" customWidth="1"/>
    <col min="2" max="2" width="21" style="26" customWidth="1"/>
    <col min="3" max="3" width="11.453125" style="26" customWidth="1"/>
    <col min="4" max="4" width="11.453125" style="400" customWidth="1"/>
    <col min="5" max="6" width="11.26953125" style="26" customWidth="1"/>
    <col min="7" max="7" width="11" style="26" customWidth="1"/>
    <col min="8" max="8" width="11.7265625" style="26" customWidth="1"/>
    <col min="9" max="9" width="11.1796875" style="26" customWidth="1"/>
    <col min="10" max="16384" width="9.1796875" style="26"/>
  </cols>
  <sheetData>
    <row r="1" spans="1:9" ht="18" x14ac:dyDescent="0.4">
      <c r="A1" s="1"/>
      <c r="B1" s="409"/>
      <c r="C1" s="6"/>
      <c r="D1" s="6"/>
      <c r="E1" s="146" t="s">
        <v>93</v>
      </c>
      <c r="F1" s="146"/>
      <c r="G1" s="145"/>
      <c r="H1" s="409"/>
      <c r="I1" s="1"/>
    </row>
    <row r="2" spans="1:9" x14ac:dyDescent="0.35">
      <c r="A2" s="1"/>
      <c r="C2" s="422" t="s">
        <v>95</v>
      </c>
      <c r="D2" s="422"/>
      <c r="E2" s="422"/>
      <c r="F2" s="422"/>
      <c r="G2" s="422"/>
      <c r="H2" s="422"/>
      <c r="I2" s="1"/>
    </row>
    <row r="3" spans="1:9" ht="15" thickBot="1" x14ac:dyDescent="0.4">
      <c r="A3" s="1"/>
      <c r="B3" s="1"/>
      <c r="C3" s="398"/>
      <c r="D3" s="398"/>
      <c r="E3" s="30"/>
      <c r="F3" s="30"/>
      <c r="G3" s="31"/>
      <c r="H3" s="1"/>
      <c r="I3" s="1"/>
    </row>
    <row r="4" spans="1:9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</row>
    <row r="5" spans="1:9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9" ht="15" thickBot="1" x14ac:dyDescent="0.4">
      <c r="A6" s="71"/>
      <c r="B6" s="341" t="s">
        <v>11</v>
      </c>
      <c r="C6" s="207" t="s">
        <v>85</v>
      </c>
      <c r="D6" s="207" t="s">
        <v>86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9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</row>
    <row r="8" spans="1:9" x14ac:dyDescent="0.35">
      <c r="A8" s="6"/>
      <c r="B8" s="361"/>
      <c r="C8" s="370"/>
      <c r="D8" s="371"/>
      <c r="E8" s="372"/>
      <c r="F8" s="372"/>
      <c r="G8" s="373"/>
      <c r="H8" s="374"/>
      <c r="I8" s="311"/>
    </row>
    <row r="9" spans="1:9" ht="15" thickBot="1" x14ac:dyDescent="0.4">
      <c r="A9" s="6"/>
      <c r="B9" s="344">
        <v>2</v>
      </c>
      <c r="C9" s="182">
        <f t="shared" ref="C9:H9" si="0">C11</f>
        <v>24413</v>
      </c>
      <c r="D9" s="178">
        <f t="shared" si="0"/>
        <v>26244</v>
      </c>
      <c r="E9" s="377">
        <f t="shared" si="0"/>
        <v>2187</v>
      </c>
      <c r="F9" s="377">
        <f t="shared" si="0"/>
        <v>503.30821011449285</v>
      </c>
      <c r="G9" s="378">
        <f t="shared" si="0"/>
        <v>13.602924597688997</v>
      </c>
      <c r="H9" s="379">
        <f t="shared" si="0"/>
        <v>15.481488484629846</v>
      </c>
      <c r="I9" s="311"/>
    </row>
    <row r="10" spans="1:9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311"/>
    </row>
    <row r="11" spans="1:9" x14ac:dyDescent="0.35">
      <c r="A11" s="6"/>
      <c r="B11" s="342">
        <v>2</v>
      </c>
      <c r="C11" s="180">
        <v>24413</v>
      </c>
      <c r="D11" s="180">
        <f>ROUND((C11*1.075),0)</f>
        <v>26244</v>
      </c>
      <c r="E11" s="157">
        <f>D11/12</f>
        <v>2187</v>
      </c>
      <c r="F11" s="158">
        <f>SUM(D11/52.143)</f>
        <v>503.30821011449285</v>
      </c>
      <c r="G11" s="170">
        <f>SUM($D11/52.143)/37</f>
        <v>13.602924597688997</v>
      </c>
      <c r="H11" s="328">
        <f>SUM($D11/52.143)/37*1.1381</f>
        <v>15.481488484629846</v>
      </c>
      <c r="I11" s="311"/>
    </row>
    <row r="12" spans="1:9" ht="15" thickBot="1" x14ac:dyDescent="0.4">
      <c r="A12" s="6"/>
      <c r="B12" s="343">
        <v>3</v>
      </c>
      <c r="C12" s="223">
        <v>24796</v>
      </c>
      <c r="D12" s="223">
        <f>ROUND((C12*1.075),0)</f>
        <v>26656</v>
      </c>
      <c r="E12" s="151">
        <f>D12/12</f>
        <v>2221.3333333333335</v>
      </c>
      <c r="F12" s="152">
        <f>SUM(D12/52.143)</f>
        <v>511.2095583299772</v>
      </c>
      <c r="G12" s="163">
        <f>SUM($D12/52.143)/37</f>
        <v>13.816474549458842</v>
      </c>
      <c r="H12" s="322">
        <f>SUM($D12/52.143)/37*1.1381</f>
        <v>15.724529684739107</v>
      </c>
      <c r="I12" s="311"/>
    </row>
    <row r="13" spans="1:9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311"/>
    </row>
    <row r="14" spans="1:9" x14ac:dyDescent="0.35">
      <c r="A14" s="6"/>
      <c r="B14" s="342">
        <v>3</v>
      </c>
      <c r="C14" s="180">
        <f t="shared" ref="C14:H14" si="1">C12</f>
        <v>24796</v>
      </c>
      <c r="D14" s="180">
        <f t="shared" si="1"/>
        <v>26656</v>
      </c>
      <c r="E14" s="285">
        <f t="shared" si="1"/>
        <v>2221.3333333333335</v>
      </c>
      <c r="F14" s="285">
        <f t="shared" si="1"/>
        <v>511.2095583299772</v>
      </c>
      <c r="G14" s="284">
        <f t="shared" si="1"/>
        <v>13.816474549458842</v>
      </c>
      <c r="H14" s="331">
        <f t="shared" si="1"/>
        <v>15.724529684739107</v>
      </c>
      <c r="I14" s="311"/>
    </row>
    <row r="15" spans="1:9" ht="15" thickBot="1" x14ac:dyDescent="0.4">
      <c r="A15" s="6"/>
      <c r="B15" s="344">
        <v>4</v>
      </c>
      <c r="C15" s="182">
        <v>25185</v>
      </c>
      <c r="D15" s="178">
        <f>ROUND((C15*1.075),0)</f>
        <v>27074</v>
      </c>
      <c r="E15" s="159">
        <f>D15/12</f>
        <v>2256.1666666666665</v>
      </c>
      <c r="F15" s="160">
        <f>SUM(D15/52.143)</f>
        <v>519.2259747233569</v>
      </c>
      <c r="G15" s="172">
        <f>SUM($D15/52.143)/37</f>
        <v>14.033134451982619</v>
      </c>
      <c r="H15" s="333">
        <f>SUM($D15/52.143)/37*1.1381</f>
        <v>15.971110319801417</v>
      </c>
      <c r="I15" s="311"/>
    </row>
    <row r="16" spans="1:9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311"/>
    </row>
    <row r="17" spans="1:9" x14ac:dyDescent="0.35">
      <c r="A17" s="6"/>
      <c r="B17" s="342">
        <v>5</v>
      </c>
      <c r="C17" s="223">
        <v>25583</v>
      </c>
      <c r="D17" s="223">
        <f>ROUND((C17*1.075),0)</f>
        <v>27502</v>
      </c>
      <c r="E17" s="151">
        <f>D17/12</f>
        <v>2291.8333333333335</v>
      </c>
      <c r="F17" s="152">
        <f>SUM(D17/52.143)</f>
        <v>527.43417141322902</v>
      </c>
      <c r="G17" s="163">
        <f>SUM($D17/52.143)/37</f>
        <v>14.254977605762946</v>
      </c>
      <c r="H17" s="322">
        <f>SUM($D17/52.143)/37*1.1381</f>
        <v>16.223590013118805</v>
      </c>
      <c r="I17" s="311"/>
    </row>
    <row r="18" spans="1:9" ht="15" thickBot="1" x14ac:dyDescent="0.4">
      <c r="A18" s="6"/>
      <c r="B18" s="344">
        <v>6</v>
      </c>
      <c r="C18" s="182">
        <v>25989</v>
      </c>
      <c r="D18" s="178">
        <f>ROUND((C18*1.075),0)</f>
        <v>27938</v>
      </c>
      <c r="E18" s="159">
        <f>D18/12</f>
        <v>2328.1666666666665</v>
      </c>
      <c r="F18" s="160">
        <f>SUM(D18/52.143)</f>
        <v>535.79579234029495</v>
      </c>
      <c r="G18" s="172">
        <f>SUM($D18/52.143)/37</f>
        <v>14.480967360548512</v>
      </c>
      <c r="H18" s="333">
        <f>SUM($D18/52.143)/37*1.1381</f>
        <v>16.48078895304026</v>
      </c>
      <c r="I18" s="311"/>
    </row>
    <row r="19" spans="1:9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311"/>
    </row>
    <row r="20" spans="1:9" x14ac:dyDescent="0.35">
      <c r="A20" s="6"/>
      <c r="B20" s="342">
        <v>7</v>
      </c>
      <c r="C20" s="180">
        <v>26403</v>
      </c>
      <c r="D20" s="180">
        <f>ROUND((C20*1.075),0)</f>
        <v>28383</v>
      </c>
      <c r="E20" s="157">
        <f>D20/12</f>
        <v>2365.25</v>
      </c>
      <c r="F20" s="158">
        <f>SUM(D20/52.143)</f>
        <v>544.33001553420399</v>
      </c>
      <c r="G20" s="170">
        <f>SUM($D20/52.143)/37</f>
        <v>14.711622041464972</v>
      </c>
      <c r="H20" s="328">
        <f>SUM($D20/52.143)/37*1.1381</f>
        <v>16.743297045391284</v>
      </c>
      <c r="I20" s="311"/>
    </row>
    <row r="21" spans="1:9" x14ac:dyDescent="0.35">
      <c r="A21" s="6"/>
      <c r="B21" s="342">
        <v>8</v>
      </c>
      <c r="C21" s="175">
        <v>26824</v>
      </c>
      <c r="D21" s="175">
        <f>ROUND((C21*1.075),0)</f>
        <v>28836</v>
      </c>
      <c r="E21" s="149">
        <f>D21/12</f>
        <v>2403</v>
      </c>
      <c r="F21" s="150">
        <f>SUM(D21/52.143)</f>
        <v>553.01766296530695</v>
      </c>
      <c r="G21" s="161">
        <f>SUM($D21/52.143)/37</f>
        <v>14.946423323386675</v>
      </c>
      <c r="H21" s="329">
        <f>SUM($D21/52.143)/37*1.1381</f>
        <v>17.010524384346372</v>
      </c>
      <c r="I21" s="311"/>
    </row>
    <row r="22" spans="1:9" x14ac:dyDescent="0.35">
      <c r="A22" s="6"/>
      <c r="B22" s="342">
        <v>9</v>
      </c>
      <c r="C22" s="175">
        <v>27254</v>
      </c>
      <c r="D22" s="175">
        <f>ROUND((C22*1.075),0)</f>
        <v>29298</v>
      </c>
      <c r="E22" s="149">
        <f>D22/12</f>
        <v>2441.5</v>
      </c>
      <c r="F22" s="150">
        <f>SUM(D22/52.143)</f>
        <v>561.87791266325291</v>
      </c>
      <c r="G22" s="161">
        <f>SUM($D22/52.143)/37</f>
        <v>15.185889531439267</v>
      </c>
      <c r="H22" s="329">
        <f>SUM($D22/52.143)/37*1.1381</f>
        <v>17.283060875731028</v>
      </c>
      <c r="I22" s="311"/>
    </row>
    <row r="23" spans="1:9" x14ac:dyDescent="0.35">
      <c r="A23" s="6"/>
      <c r="B23" s="345">
        <v>10</v>
      </c>
      <c r="C23" s="223">
        <v>27694</v>
      </c>
      <c r="D23" s="223">
        <f>ROUND((C23*1.075),0)</f>
        <v>29771</v>
      </c>
      <c r="E23" s="151">
        <f>D23/12</f>
        <v>2480.9166666666665</v>
      </c>
      <c r="F23" s="152">
        <f>SUM(D23/52.143)</f>
        <v>570.94912068734061</v>
      </c>
      <c r="G23" s="163">
        <f>SUM($D23/52.143)/37</f>
        <v>15.431057315874071</v>
      </c>
      <c r="H23" s="322">
        <f>SUM($D23/52.143)/37*1.1381</f>
        <v>17.56208633119628</v>
      </c>
      <c r="I23" s="311"/>
    </row>
    <row r="24" spans="1:9" ht="15" thickBot="1" x14ac:dyDescent="0.4">
      <c r="A24" s="6"/>
      <c r="B24" s="344">
        <v>11</v>
      </c>
      <c r="C24" s="182">
        <v>28142</v>
      </c>
      <c r="D24" s="178">
        <f>ROUND((C24*1.075),0)</f>
        <v>30253</v>
      </c>
      <c r="E24" s="159">
        <f>D24/12</f>
        <v>2521.0833333333335</v>
      </c>
      <c r="F24" s="160">
        <f>SUM(D24/52.143)</f>
        <v>580.19293097827131</v>
      </c>
      <c r="G24" s="172">
        <f>SUM($D24/52.143)/37</f>
        <v>15.680890026439766</v>
      </c>
      <c r="H24" s="333">
        <f>SUM($D24/52.143)/37*1.1381</f>
        <v>17.846420939091097</v>
      </c>
      <c r="I24" s="311"/>
    </row>
    <row r="25" spans="1:9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311"/>
    </row>
    <row r="26" spans="1:9" x14ac:dyDescent="0.35">
      <c r="A26" s="6"/>
      <c r="B26" s="342">
        <v>12</v>
      </c>
      <c r="C26" s="180">
        <v>28598</v>
      </c>
      <c r="D26" s="180">
        <f t="shared" ref="D26:D31" si="2">ROUND((C26*1.075),0)</f>
        <v>30743</v>
      </c>
      <c r="E26" s="157">
        <f t="shared" ref="E26:E31" si="3">D26/12</f>
        <v>2561.9166666666665</v>
      </c>
      <c r="F26" s="158">
        <f t="shared" ref="F26:F31" si="4">SUM(D26/52.143)</f>
        <v>589.59016550639592</v>
      </c>
      <c r="G26" s="170">
        <f t="shared" ref="G26:G31" si="5">SUM($D26/52.143)/37</f>
        <v>15.934869338010701</v>
      </c>
      <c r="H26" s="328">
        <f t="shared" ref="H26:H31" si="6">SUM($D26/52.143)/37*1.1381</f>
        <v>18.135474793589978</v>
      </c>
      <c r="I26" s="311"/>
    </row>
    <row r="27" spans="1:9" x14ac:dyDescent="0.35">
      <c r="A27" s="6"/>
      <c r="B27" s="342">
        <v>13</v>
      </c>
      <c r="C27" s="175">
        <v>29064</v>
      </c>
      <c r="D27" s="175">
        <f t="shared" si="2"/>
        <v>31244</v>
      </c>
      <c r="E27" s="149">
        <f t="shared" si="3"/>
        <v>2603.6666666666665</v>
      </c>
      <c r="F27" s="150">
        <f t="shared" si="4"/>
        <v>599.19835836066204</v>
      </c>
      <c r="G27" s="161">
        <f t="shared" si="5"/>
        <v>16.194550225963837</v>
      </c>
      <c r="H27" s="329">
        <f t="shared" si="6"/>
        <v>18.431017612169441</v>
      </c>
      <c r="I27" s="311"/>
    </row>
    <row r="28" spans="1:9" x14ac:dyDescent="0.35">
      <c r="A28" s="6"/>
      <c r="B28" s="342">
        <v>14</v>
      </c>
      <c r="C28" s="175">
        <v>29540</v>
      </c>
      <c r="D28" s="175">
        <f t="shared" si="2"/>
        <v>31756</v>
      </c>
      <c r="E28" s="149">
        <f t="shared" si="3"/>
        <v>2646.3333333333335</v>
      </c>
      <c r="F28" s="150">
        <f t="shared" si="4"/>
        <v>609.01750954106978</v>
      </c>
      <c r="G28" s="161">
        <f t="shared" si="5"/>
        <v>16.459932690299183</v>
      </c>
      <c r="H28" s="329">
        <f t="shared" si="6"/>
        <v>18.7330493948295</v>
      </c>
      <c r="I28" s="311"/>
    </row>
    <row r="29" spans="1:9" x14ac:dyDescent="0.35">
      <c r="A29" s="6"/>
      <c r="B29" s="342">
        <v>15</v>
      </c>
      <c r="C29" s="175">
        <v>30024</v>
      </c>
      <c r="D29" s="175">
        <f t="shared" si="2"/>
        <v>32276</v>
      </c>
      <c r="E29" s="149">
        <f t="shared" si="3"/>
        <v>2689.6666666666665</v>
      </c>
      <c r="F29" s="150">
        <f t="shared" si="4"/>
        <v>618.99008495867133</v>
      </c>
      <c r="G29" s="161">
        <f t="shared" si="5"/>
        <v>16.729461755639765</v>
      </c>
      <c r="H29" s="329">
        <f t="shared" si="6"/>
        <v>19.039800424093613</v>
      </c>
      <c r="I29" s="311"/>
    </row>
    <row r="30" spans="1:9" x14ac:dyDescent="0.35">
      <c r="A30" s="6"/>
      <c r="B30" s="342">
        <v>16</v>
      </c>
      <c r="C30" s="223">
        <v>30518</v>
      </c>
      <c r="D30" s="223">
        <f t="shared" si="2"/>
        <v>32807</v>
      </c>
      <c r="E30" s="151">
        <f t="shared" si="3"/>
        <v>2733.9166666666665</v>
      </c>
      <c r="F30" s="152">
        <f t="shared" si="4"/>
        <v>629.1736187024145</v>
      </c>
      <c r="G30" s="163">
        <f t="shared" si="5"/>
        <v>17.004692397362554</v>
      </c>
      <c r="H30" s="322">
        <f t="shared" si="6"/>
        <v>19.353040417438322</v>
      </c>
      <c r="I30" s="311"/>
    </row>
    <row r="31" spans="1:9" ht="15" thickBot="1" x14ac:dyDescent="0.4">
      <c r="A31" s="6"/>
      <c r="B31" s="345">
        <v>17</v>
      </c>
      <c r="C31" s="182">
        <v>31022</v>
      </c>
      <c r="D31" s="182">
        <f t="shared" si="2"/>
        <v>33349</v>
      </c>
      <c r="E31" s="159">
        <f t="shared" si="3"/>
        <v>2779.0833333333335</v>
      </c>
      <c r="F31" s="160">
        <f t="shared" si="4"/>
        <v>639.56811077229929</v>
      </c>
      <c r="G31" s="172">
        <f t="shared" si="5"/>
        <v>17.285624615467547</v>
      </c>
      <c r="H31" s="333">
        <f t="shared" si="6"/>
        <v>19.672769374863613</v>
      </c>
      <c r="I31" s="311"/>
    </row>
    <row r="32" spans="1:9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311"/>
    </row>
    <row r="33" spans="1:9" s="1" customFormat="1" ht="15.75" customHeight="1" x14ac:dyDescent="0.2">
      <c r="B33" s="346">
        <v>18</v>
      </c>
      <c r="C33" s="339">
        <v>31537</v>
      </c>
      <c r="D33" s="296">
        <f>ROUND((C33*1.075),0)</f>
        <v>33902</v>
      </c>
      <c r="E33" s="297">
        <f>D33/12</f>
        <v>2825.1666666666665</v>
      </c>
      <c r="F33" s="297">
        <f>SUM(D33/52.143)</f>
        <v>650.17356116832559</v>
      </c>
      <c r="G33" s="298">
        <f>SUM($D33/52.143)/37</f>
        <v>17.572258409954745</v>
      </c>
      <c r="H33" s="336">
        <f>SUM($D33/52.143)/37*1.1381</f>
        <v>19.998987296369492</v>
      </c>
      <c r="I33" s="311"/>
    </row>
    <row r="34" spans="1:9" x14ac:dyDescent="0.35">
      <c r="A34" s="6"/>
      <c r="B34" s="342">
        <v>19</v>
      </c>
      <c r="C34" s="180">
        <v>32061</v>
      </c>
      <c r="D34" s="180">
        <f>ROUND((C34*1.075),0)</f>
        <v>34466</v>
      </c>
      <c r="E34" s="157">
        <f>D34/12</f>
        <v>2872.1666666666665</v>
      </c>
      <c r="F34" s="158">
        <f>SUM(D34/52.143)</f>
        <v>660.9899698904934</v>
      </c>
      <c r="G34" s="170">
        <f>SUM($D34/52.143)/37</f>
        <v>17.864593780824144</v>
      </c>
      <c r="H34" s="328">
        <f>SUM($D34/52.143)/37*1.1381</f>
        <v>20.331694181955957</v>
      </c>
      <c r="I34" s="311"/>
    </row>
    <row r="35" spans="1:9" x14ac:dyDescent="0.35">
      <c r="A35" s="6"/>
      <c r="B35" s="342">
        <v>20</v>
      </c>
      <c r="C35" s="175">
        <v>32597</v>
      </c>
      <c r="D35" s="175">
        <f>ROUND((C35*1.075),0)</f>
        <v>35042</v>
      </c>
      <c r="E35" s="149">
        <f>D35/12</f>
        <v>2920.1666666666665</v>
      </c>
      <c r="F35" s="150">
        <f>SUM(D35/52.143)</f>
        <v>672.03651496845214</v>
      </c>
      <c r="G35" s="161">
        <f>SUM($D35/52.143)/37</f>
        <v>18.163149053201408</v>
      </c>
      <c r="H35" s="329">
        <f>SUM($D35/52.143)/37*1.1381</f>
        <v>20.67147993744852</v>
      </c>
      <c r="I35" s="311"/>
    </row>
    <row r="36" spans="1:9" x14ac:dyDescent="0.35">
      <c r="A36" s="6"/>
      <c r="B36" s="345">
        <v>21</v>
      </c>
      <c r="C36" s="223">
        <v>33143</v>
      </c>
      <c r="D36" s="223">
        <f>ROUND((C36*1.075),0)</f>
        <v>35629</v>
      </c>
      <c r="E36" s="151">
        <f>D36/12</f>
        <v>2969.0833333333335</v>
      </c>
      <c r="F36" s="152">
        <f>SUM(D36/52.143)</f>
        <v>683.29401837255239</v>
      </c>
      <c r="G36" s="163">
        <f>SUM($D36/52.143)/37</f>
        <v>18.467405901960877</v>
      </c>
      <c r="H36" s="322">
        <f>SUM($D36/52.143)/37*1.1381</f>
        <v>21.017754657021673</v>
      </c>
      <c r="I36" s="311"/>
    </row>
    <row r="37" spans="1:9" ht="15" thickBot="1" x14ac:dyDescent="0.4">
      <c r="A37" s="6"/>
      <c r="B37" s="344">
        <v>22</v>
      </c>
      <c r="C37" s="182">
        <v>33699</v>
      </c>
      <c r="D37" s="182">
        <f>ROUND((C37*1.075),0)</f>
        <v>36226</v>
      </c>
      <c r="E37" s="159">
        <f>D37/12</f>
        <v>3018.8333333333335</v>
      </c>
      <c r="F37" s="160">
        <f>SUM(D37/52.143)</f>
        <v>694.74330207314495</v>
      </c>
      <c r="G37" s="172">
        <f>SUM($D37/52.143)/37</f>
        <v>18.776846001976889</v>
      </c>
      <c r="H37" s="333">
        <f>SUM($D37/52.143)/37*1.1381</f>
        <v>21.369928434849896</v>
      </c>
      <c r="I37" s="311"/>
    </row>
    <row r="38" spans="1:9" ht="15" thickBot="1" x14ac:dyDescent="0.4">
      <c r="A38" s="6"/>
      <c r="B38" s="345"/>
      <c r="C38" s="64"/>
      <c r="D38" s="64"/>
      <c r="E38" s="65"/>
      <c r="F38" s="65"/>
      <c r="G38" s="65"/>
      <c r="H38" s="66"/>
      <c r="I38" s="311"/>
    </row>
    <row r="39" spans="1:9" x14ac:dyDescent="0.35">
      <c r="B39" s="360" t="s">
        <v>22</v>
      </c>
      <c r="C39" s="347"/>
      <c r="D39" s="348"/>
      <c r="E39" s="349" t="s">
        <v>49</v>
      </c>
      <c r="F39" s="350"/>
      <c r="G39" s="351" t="s">
        <v>21</v>
      </c>
      <c r="H39" s="416" t="s">
        <v>48</v>
      </c>
      <c r="I39" s="311"/>
    </row>
    <row r="40" spans="1:9" ht="15" thickBot="1" x14ac:dyDescent="0.4">
      <c r="A40" s="1"/>
      <c r="B40" s="394">
        <v>8</v>
      </c>
      <c r="C40" s="182">
        <f>C21</f>
        <v>26824</v>
      </c>
      <c r="D40" s="182">
        <v>729</v>
      </c>
      <c r="E40" s="159">
        <f>C40+D40</f>
        <v>27553</v>
      </c>
      <c r="F40" s="160"/>
      <c r="G40" s="172">
        <f>E40/52.143/37</f>
        <v>14.281412187171348</v>
      </c>
      <c r="H40" s="333">
        <f>E40/52.143/37*1.1381</f>
        <v>16.253675210219711</v>
      </c>
      <c r="I40" s="311"/>
    </row>
    <row r="41" spans="1:9" x14ac:dyDescent="0.35">
      <c r="A41" s="1"/>
      <c r="B41" s="70" t="s">
        <v>87</v>
      </c>
      <c r="C41" s="5"/>
      <c r="D41" s="5"/>
      <c r="E41" s="1"/>
      <c r="F41" s="1"/>
      <c r="G41" s="1"/>
      <c r="H41" s="1"/>
      <c r="I41" s="1"/>
    </row>
    <row r="42" spans="1:9" x14ac:dyDescent="0.35">
      <c r="A42" s="70" t="s">
        <v>47</v>
      </c>
      <c r="C42" s="71"/>
      <c r="D42" s="71"/>
      <c r="E42" s="72"/>
      <c r="F42" s="72"/>
      <c r="G42" s="73"/>
      <c r="H42" s="74"/>
      <c r="I42" s="74"/>
    </row>
    <row r="43" spans="1:9" x14ac:dyDescent="0.35">
      <c r="A43" s="76"/>
      <c r="B43" s="76"/>
      <c r="C43" s="71"/>
      <c r="D43" s="71"/>
      <c r="E43" s="74"/>
      <c r="F43" s="74"/>
      <c r="G43" s="73"/>
      <c r="H43" s="74"/>
      <c r="I43" s="74"/>
    </row>
    <row r="44" spans="1:9" x14ac:dyDescent="0.35">
      <c r="A44" s="77" t="s">
        <v>60</v>
      </c>
      <c r="C44" s="6"/>
      <c r="D44" s="6"/>
      <c r="E44" s="75"/>
      <c r="F44" s="75"/>
      <c r="G44" s="29"/>
      <c r="H44" s="75"/>
      <c r="I44" s="75"/>
    </row>
    <row r="45" spans="1:9" x14ac:dyDescent="0.35">
      <c r="A45" s="1"/>
      <c r="B45" s="1"/>
      <c r="C45" s="6"/>
      <c r="D45" s="75"/>
      <c r="E45" s="78"/>
      <c r="F45" s="78"/>
      <c r="G45" s="29"/>
      <c r="H45" s="29"/>
      <c r="I45" s="29"/>
    </row>
    <row r="46" spans="1:9" x14ac:dyDescent="0.35">
      <c r="A46" s="224" t="s">
        <v>24</v>
      </c>
      <c r="B46" s="235" t="s">
        <v>25</v>
      </c>
      <c r="C46" s="236"/>
      <c r="D46" s="237" t="s">
        <v>26</v>
      </c>
      <c r="G46" s="29"/>
      <c r="H46" s="29"/>
      <c r="I46" s="29"/>
    </row>
    <row r="47" spans="1:9" x14ac:dyDescent="0.35">
      <c r="A47" s="221"/>
      <c r="B47" s="238"/>
      <c r="C47" s="239"/>
      <c r="D47" s="240" t="s">
        <v>27</v>
      </c>
      <c r="G47" s="29"/>
      <c r="H47" s="29"/>
      <c r="I47" s="29"/>
    </row>
    <row r="48" spans="1:9" x14ac:dyDescent="0.35">
      <c r="A48" s="1"/>
      <c r="B48" s="6"/>
      <c r="C48" s="75"/>
      <c r="D48" s="87"/>
      <c r="G48" s="29"/>
      <c r="H48" s="29"/>
      <c r="I48" s="29"/>
    </row>
    <row r="49" spans="1:9" x14ac:dyDescent="0.35">
      <c r="A49" s="214" t="s">
        <v>28</v>
      </c>
      <c r="B49" s="89" t="s">
        <v>29</v>
      </c>
      <c r="C49" s="90">
        <v>10000</v>
      </c>
      <c r="D49" s="91">
        <v>45</v>
      </c>
      <c r="G49" s="29"/>
      <c r="H49" s="29"/>
      <c r="I49" s="29"/>
    </row>
    <row r="50" spans="1:9" x14ac:dyDescent="0.35">
      <c r="A50" s="1"/>
      <c r="B50" s="92" t="s">
        <v>30</v>
      </c>
      <c r="C50" s="90">
        <v>10000</v>
      </c>
      <c r="D50" s="93">
        <v>25</v>
      </c>
      <c r="G50" s="29"/>
      <c r="H50" s="29"/>
      <c r="I50" s="29"/>
    </row>
    <row r="51" spans="1:9" x14ac:dyDescent="0.35">
      <c r="A51" s="1"/>
      <c r="B51" s="1"/>
      <c r="C51" s="6"/>
      <c r="D51" s="1"/>
      <c r="E51" s="78"/>
      <c r="F51" s="78"/>
      <c r="G51" s="29"/>
      <c r="H51" s="29"/>
      <c r="I51" s="29"/>
    </row>
    <row r="52" spans="1:9" x14ac:dyDescent="0.35">
      <c r="A52" s="7"/>
      <c r="B52" s="7"/>
      <c r="C52" s="7"/>
      <c r="D52" s="7"/>
      <c r="E52" s="10"/>
      <c r="F52" s="10"/>
      <c r="G52" s="16"/>
      <c r="H52" s="241"/>
      <c r="I52" s="10"/>
    </row>
    <row r="53" spans="1:9" x14ac:dyDescent="0.35">
      <c r="A53" s="301" t="s">
        <v>31</v>
      </c>
      <c r="B53" s="116" t="s">
        <v>94</v>
      </c>
      <c r="C53" s="74"/>
      <c r="D53" s="74"/>
      <c r="E53" s="300"/>
      <c r="F53" s="300"/>
      <c r="G53" s="7" t="s">
        <v>32</v>
      </c>
    </row>
    <row r="54" spans="1:9" x14ac:dyDescent="0.35">
      <c r="A54" s="1"/>
      <c r="B54" s="101"/>
      <c r="C54" s="75"/>
      <c r="D54" s="75"/>
      <c r="E54" s="246"/>
      <c r="F54" s="246"/>
      <c r="G54" s="245"/>
      <c r="H54" s="75"/>
      <c r="I54" s="247"/>
    </row>
    <row r="55" spans="1:9" x14ac:dyDescent="0.35">
      <c r="A55" s="202" t="s">
        <v>33</v>
      </c>
      <c r="B55" s="203" t="s">
        <v>8</v>
      </c>
      <c r="C55" s="203" t="s">
        <v>4</v>
      </c>
      <c r="D55" s="203" t="s">
        <v>5</v>
      </c>
      <c r="E55" s="204" t="s">
        <v>6</v>
      </c>
      <c r="F55" s="205" t="s">
        <v>7</v>
      </c>
      <c r="G55" s="12"/>
    </row>
    <row r="56" spans="1:9" x14ac:dyDescent="0.35">
      <c r="A56" s="211"/>
      <c r="B56" s="212" t="s">
        <v>11</v>
      </c>
      <c r="C56" s="212" t="s">
        <v>9</v>
      </c>
      <c r="D56" s="302" t="s">
        <v>9</v>
      </c>
      <c r="E56" s="303" t="s">
        <v>9</v>
      </c>
      <c r="F56" s="304" t="s">
        <v>10</v>
      </c>
      <c r="G56" s="13" t="s">
        <v>34</v>
      </c>
      <c r="I56" s="397"/>
    </row>
    <row r="57" spans="1:9" x14ac:dyDescent="0.35">
      <c r="A57" s="1"/>
      <c r="B57" s="6"/>
      <c r="C57" s="14" t="s">
        <v>14</v>
      </c>
      <c r="D57" s="14" t="s">
        <v>14</v>
      </c>
      <c r="E57" s="14" t="s">
        <v>14</v>
      </c>
      <c r="F57" s="305" t="s">
        <v>14</v>
      </c>
      <c r="G57" s="306" t="s">
        <v>14</v>
      </c>
      <c r="I57" s="397"/>
    </row>
    <row r="58" spans="1:9" x14ac:dyDescent="0.35">
      <c r="A58" s="249">
        <v>8</v>
      </c>
      <c r="B58" s="109">
        <v>1</v>
      </c>
      <c r="C58" s="175">
        <v>38316</v>
      </c>
      <c r="D58" s="148">
        <f>C58/12</f>
        <v>3193</v>
      </c>
      <c r="E58" s="149">
        <f>SUM(C58/52.143)</f>
        <v>734.82538404004367</v>
      </c>
      <c r="F58" s="174">
        <f>SUM(C58/52.143)/37</f>
        <v>19.860145514595775</v>
      </c>
      <c r="G58" s="234">
        <f>SUM(C58*1.1381)</f>
        <v>43607.439599999998</v>
      </c>
      <c r="H58" s="407"/>
      <c r="I58" s="397"/>
    </row>
    <row r="59" spans="1:9" x14ac:dyDescent="0.35">
      <c r="A59" s="110"/>
      <c r="B59" s="111">
        <v>2</v>
      </c>
      <c r="C59" s="175">
        <v>39206</v>
      </c>
      <c r="D59" s="148">
        <f t="shared" ref="D59:D66" si="7">C59/12</f>
        <v>3267.1666666666665</v>
      </c>
      <c r="E59" s="149">
        <f t="shared" ref="E59:E67" si="8">SUM(C59/52.143)</f>
        <v>751.89383042786187</v>
      </c>
      <c r="F59" s="174">
        <f t="shared" ref="F59:F67" si="9">SUM(C59/52.143)/37</f>
        <v>20.3214548764287</v>
      </c>
      <c r="G59" s="234">
        <f t="shared" ref="G59:G67" si="10">SUM(C59*1.1381)</f>
        <v>44620.348599999998</v>
      </c>
      <c r="H59" s="407"/>
      <c r="I59" s="397"/>
    </row>
    <row r="60" spans="1:9" x14ac:dyDescent="0.35">
      <c r="A60" s="110"/>
      <c r="B60" s="111">
        <v>3</v>
      </c>
      <c r="C60" s="175">
        <v>40088</v>
      </c>
      <c r="D60" s="148">
        <f t="shared" si="7"/>
        <v>3340.6666666666665</v>
      </c>
      <c r="E60" s="149">
        <f t="shared" si="8"/>
        <v>768.80885257848604</v>
      </c>
      <c r="F60" s="174">
        <f t="shared" si="9"/>
        <v>20.778617637256378</v>
      </c>
      <c r="G60" s="234">
        <f t="shared" si="10"/>
        <v>45624.152799999996</v>
      </c>
      <c r="H60" s="407"/>
      <c r="I60" s="397"/>
    </row>
    <row r="61" spans="1:9" x14ac:dyDescent="0.35">
      <c r="A61" s="110"/>
      <c r="B61" s="111">
        <v>4</v>
      </c>
      <c r="C61" s="175">
        <v>41118</v>
      </c>
      <c r="D61" s="148">
        <f t="shared" si="7"/>
        <v>3426.5</v>
      </c>
      <c r="E61" s="149">
        <f t="shared" si="8"/>
        <v>788.56222311719694</v>
      </c>
      <c r="F61" s="174">
        <f t="shared" si="9"/>
        <v>21.312492516680997</v>
      </c>
      <c r="G61" s="234">
        <f t="shared" si="10"/>
        <v>46796.395799999998</v>
      </c>
      <c r="H61" s="407"/>
      <c r="I61" s="397"/>
    </row>
    <row r="62" spans="1:9" x14ac:dyDescent="0.35">
      <c r="A62" s="110"/>
      <c r="B62" s="111">
        <v>5</v>
      </c>
      <c r="C62" s="175">
        <v>42152</v>
      </c>
      <c r="D62" s="148">
        <f t="shared" si="7"/>
        <v>3512.6666666666665</v>
      </c>
      <c r="E62" s="149">
        <f t="shared" si="8"/>
        <v>808.39230577450473</v>
      </c>
      <c r="F62" s="174">
        <f t="shared" si="9"/>
        <v>21.848440696608236</v>
      </c>
      <c r="G62" s="234">
        <f t="shared" si="10"/>
        <v>47973.191199999994</v>
      </c>
      <c r="H62" s="407"/>
      <c r="I62" s="397"/>
    </row>
    <row r="63" spans="1:9" x14ac:dyDescent="0.35">
      <c r="A63" s="249">
        <v>7</v>
      </c>
      <c r="B63" s="109">
        <v>1</v>
      </c>
      <c r="C63" s="175">
        <v>42887</v>
      </c>
      <c r="D63" s="148">
        <f t="shared" si="7"/>
        <v>3573.9166666666665</v>
      </c>
      <c r="E63" s="149">
        <f t="shared" si="8"/>
        <v>822.4881575666916</v>
      </c>
      <c r="F63" s="174">
        <f t="shared" si="9"/>
        <v>22.229409663964638</v>
      </c>
      <c r="G63" s="234">
        <f t="shared" si="10"/>
        <v>48809.694699999993</v>
      </c>
      <c r="H63" s="407"/>
      <c r="I63" s="397"/>
    </row>
    <row r="64" spans="1:9" x14ac:dyDescent="0.35">
      <c r="A64" s="110"/>
      <c r="B64" s="111">
        <v>2</v>
      </c>
      <c r="C64" s="175">
        <v>43920</v>
      </c>
      <c r="D64" s="148">
        <f t="shared" si="7"/>
        <v>3660</v>
      </c>
      <c r="E64" s="149">
        <f t="shared" si="8"/>
        <v>842.29906219435009</v>
      </c>
      <c r="F64" s="174">
        <f t="shared" si="9"/>
        <v>22.76483951876622</v>
      </c>
      <c r="G64" s="234">
        <f t="shared" si="10"/>
        <v>49985.351999999992</v>
      </c>
      <c r="H64" s="407"/>
      <c r="I64" s="397"/>
    </row>
    <row r="65" spans="1:9" x14ac:dyDescent="0.35">
      <c r="A65" s="110"/>
      <c r="B65" s="111">
        <v>3</v>
      </c>
      <c r="C65" s="175">
        <v>44952</v>
      </c>
      <c r="D65" s="148">
        <f t="shared" si="7"/>
        <v>3746</v>
      </c>
      <c r="E65" s="149">
        <f t="shared" si="8"/>
        <v>862.09078879235949</v>
      </c>
      <c r="F65" s="174">
        <f t="shared" si="9"/>
        <v>23.299751048442147</v>
      </c>
      <c r="G65" s="234">
        <f t="shared" si="10"/>
        <v>51159.871199999994</v>
      </c>
      <c r="H65" s="407"/>
      <c r="I65" s="397"/>
    </row>
    <row r="66" spans="1:9" x14ac:dyDescent="0.35">
      <c r="A66" s="110"/>
      <c r="B66" s="111">
        <v>4</v>
      </c>
      <c r="C66" s="175">
        <v>45983</v>
      </c>
      <c r="D66" s="148">
        <f t="shared" si="7"/>
        <v>3831.9166666666665</v>
      </c>
      <c r="E66" s="149">
        <f t="shared" si="8"/>
        <v>881.86333736071958</v>
      </c>
      <c r="F66" s="174">
        <f t="shared" si="9"/>
        <v>23.83414425299242</v>
      </c>
      <c r="G66" s="234">
        <f t="shared" si="10"/>
        <v>52333.252299999993</v>
      </c>
      <c r="H66" s="407"/>
      <c r="I66" s="397"/>
    </row>
    <row r="67" spans="1:9" x14ac:dyDescent="0.35">
      <c r="A67" s="110"/>
      <c r="B67" s="111">
        <v>5</v>
      </c>
      <c r="C67" s="175">
        <v>46979</v>
      </c>
      <c r="D67" s="148">
        <f>C67/12</f>
        <v>3914.9166666666665</v>
      </c>
      <c r="E67" s="149">
        <f t="shared" si="8"/>
        <v>900.96465489135642</v>
      </c>
      <c r="F67" s="174">
        <f t="shared" si="9"/>
        <v>24.350396078144769</v>
      </c>
      <c r="G67" s="234">
        <f t="shared" si="10"/>
        <v>53466.799899999998</v>
      </c>
      <c r="H67" s="407"/>
      <c r="I67" s="397"/>
    </row>
    <row r="68" spans="1:9" x14ac:dyDescent="0.35">
      <c r="A68" s="1"/>
      <c r="B68" s="6"/>
      <c r="C68" s="112"/>
      <c r="D68" s="58"/>
      <c r="E68" s="58"/>
      <c r="F68" s="65"/>
      <c r="G68" s="66"/>
      <c r="H68" s="248"/>
      <c r="I68" s="7"/>
    </row>
    <row r="69" spans="1:9" x14ac:dyDescent="0.35">
      <c r="A69" s="253"/>
      <c r="B69" s="253"/>
      <c r="C69" s="6"/>
      <c r="D69" s="67"/>
      <c r="E69" s="254"/>
      <c r="F69" s="254"/>
      <c r="G69" s="255"/>
      <c r="H69" s="66"/>
      <c r="I69" s="248"/>
    </row>
    <row r="70" spans="1:9" x14ac:dyDescent="0.35">
      <c r="A70" s="7"/>
      <c r="B70" s="7"/>
      <c r="C70" s="116"/>
      <c r="D70" s="117"/>
      <c r="E70" s="16"/>
      <c r="F70" s="16"/>
      <c r="G70" s="256"/>
      <c r="H70" s="257"/>
      <c r="I70" s="242"/>
    </row>
    <row r="71" spans="1:9" x14ac:dyDescent="0.35">
      <c r="D71" s="26"/>
    </row>
    <row r="72" spans="1:9" x14ac:dyDescent="0.35">
      <c r="D72" s="26"/>
    </row>
    <row r="73" spans="1:9" x14ac:dyDescent="0.35">
      <c r="A73" s="125" t="s">
        <v>35</v>
      </c>
      <c r="B73" s="116" t="s">
        <v>94</v>
      </c>
      <c r="C73" s="126"/>
      <c r="D73" s="127"/>
    </row>
    <row r="74" spans="1:9" x14ac:dyDescent="0.35">
      <c r="A74" s="125"/>
      <c r="B74" s="125"/>
      <c r="C74" s="126"/>
      <c r="D74" s="127"/>
      <c r="E74" s="421"/>
      <c r="F74" s="421"/>
      <c r="G74" s="421"/>
    </row>
    <row r="75" spans="1:9" x14ac:dyDescent="0.35">
      <c r="A75" s="129" t="s">
        <v>36</v>
      </c>
      <c r="B75" s="7"/>
      <c r="D75" s="127"/>
      <c r="E75" s="421"/>
      <c r="F75" s="421"/>
      <c r="G75" s="421"/>
    </row>
    <row r="76" spans="1:9" ht="26.5" x14ac:dyDescent="0.35">
      <c r="A76" s="7"/>
      <c r="B76" s="7"/>
      <c r="C76" s="117"/>
      <c r="D76" s="288" t="s">
        <v>37</v>
      </c>
      <c r="E76" s="288" t="s">
        <v>37</v>
      </c>
      <c r="F76" s="401"/>
    </row>
    <row r="77" spans="1:9" x14ac:dyDescent="0.35">
      <c r="A77" s="260" t="s">
        <v>33</v>
      </c>
      <c r="B77" s="260" t="s">
        <v>38</v>
      </c>
      <c r="C77" s="261" t="s">
        <v>39</v>
      </c>
      <c r="D77" s="286" t="s">
        <v>38</v>
      </c>
      <c r="E77" s="415" t="s">
        <v>39</v>
      </c>
      <c r="F77" s="402"/>
    </row>
    <row r="78" spans="1:9" x14ac:dyDescent="0.35">
      <c r="A78" s="136"/>
      <c r="B78" s="137"/>
      <c r="C78" s="138"/>
      <c r="D78" s="403"/>
      <c r="E78" s="406"/>
      <c r="F78" s="404"/>
      <c r="G78" s="404"/>
    </row>
    <row r="79" spans="1:9" x14ac:dyDescent="0.35">
      <c r="A79" s="265" t="s">
        <v>40</v>
      </c>
      <c r="B79" s="266">
        <v>88709</v>
      </c>
      <c r="C79" s="266">
        <v>117571</v>
      </c>
      <c r="D79" s="263">
        <f>SUM(B79/52.143/37)</f>
        <v>45.980103571726609</v>
      </c>
      <c r="E79" s="263">
        <f>SUM(C79/52.143/37)</f>
        <v>60.940003348380309</v>
      </c>
      <c r="F79" s="405"/>
      <c r="G79" s="408"/>
      <c r="H79" s="408"/>
      <c r="I79" s="311"/>
    </row>
    <row r="80" spans="1:9" x14ac:dyDescent="0.35">
      <c r="A80" s="136"/>
      <c r="B80" s="266"/>
      <c r="C80" s="266"/>
      <c r="D80" s="263"/>
      <c r="E80" s="263"/>
      <c r="F80" s="405"/>
      <c r="G80" s="408"/>
      <c r="H80" s="408"/>
      <c r="I80" s="311"/>
    </row>
    <row r="81" spans="1:9" x14ac:dyDescent="0.35">
      <c r="A81" s="260" t="s">
        <v>41</v>
      </c>
      <c r="B81" s="266">
        <v>81497</v>
      </c>
      <c r="C81" s="266">
        <v>94480</v>
      </c>
      <c r="D81" s="263">
        <f>SUM(B81/52.143/37)</f>
        <v>42.241942765502976</v>
      </c>
      <c r="E81" s="263">
        <f>SUM(C81/52.143/37)</f>
        <v>48.97135787188143</v>
      </c>
      <c r="F81" s="405"/>
      <c r="G81" s="408"/>
      <c r="H81" s="408"/>
      <c r="I81" s="311"/>
    </row>
    <row r="82" spans="1:9" x14ac:dyDescent="0.35">
      <c r="A82" s="21"/>
      <c r="B82" s="266"/>
      <c r="C82" s="266"/>
      <c r="D82" s="263"/>
      <c r="E82" s="263"/>
      <c r="F82" s="405"/>
      <c r="G82" s="408"/>
      <c r="H82" s="408"/>
      <c r="I82" s="311"/>
    </row>
    <row r="83" spans="1:9" x14ac:dyDescent="0.35">
      <c r="A83" s="260" t="s">
        <v>42</v>
      </c>
      <c r="B83" s="266">
        <v>72941</v>
      </c>
      <c r="C83" s="266">
        <v>79654</v>
      </c>
      <c r="D83" s="263">
        <f>SUM(B83/52.143/37)</f>
        <v>37.807152990399061</v>
      </c>
      <c r="E83" s="263">
        <f>SUM(C83/52.143/37)</f>
        <v>41.28666955892087</v>
      </c>
      <c r="F83" s="405"/>
      <c r="G83" s="408"/>
      <c r="H83" s="408"/>
      <c r="I83" s="311"/>
    </row>
    <row r="84" spans="1:9" x14ac:dyDescent="0.35">
      <c r="A84" s="23"/>
      <c r="B84" s="266"/>
      <c r="C84" s="266"/>
      <c r="D84" s="263"/>
      <c r="E84" s="263"/>
      <c r="F84" s="405"/>
      <c r="G84" s="408"/>
      <c r="H84" s="408"/>
      <c r="I84" s="311"/>
    </row>
    <row r="85" spans="1:9" x14ac:dyDescent="0.35">
      <c r="A85" s="260" t="s">
        <v>43</v>
      </c>
      <c r="B85" s="266">
        <v>65421</v>
      </c>
      <c r="C85" s="266">
        <v>71239</v>
      </c>
      <c r="D85" s="263">
        <f>SUM(B85/52.143/37)</f>
        <v>33.909348045473699</v>
      </c>
      <c r="E85" s="263">
        <f>SUM(C85/52.143/37)</f>
        <v>36.924963626534307</v>
      </c>
      <c r="F85" s="405"/>
      <c r="G85" s="408"/>
      <c r="H85" s="408"/>
      <c r="I85" s="311"/>
    </row>
    <row r="86" spans="1:9" x14ac:dyDescent="0.35">
      <c r="A86" s="23"/>
      <c r="B86" s="266"/>
      <c r="C86" s="266"/>
      <c r="D86" s="263"/>
      <c r="E86" s="263"/>
      <c r="F86" s="405"/>
      <c r="G86" s="408"/>
      <c r="H86" s="408"/>
      <c r="I86" s="311"/>
    </row>
    <row r="87" spans="1:9" x14ac:dyDescent="0.35">
      <c r="A87" s="260" t="s">
        <v>44</v>
      </c>
      <c r="B87" s="266">
        <v>58386</v>
      </c>
      <c r="C87" s="266">
        <v>63653</v>
      </c>
      <c r="D87" s="263">
        <f>SUM(B87/52.143/37)</f>
        <v>30.262930786490994</v>
      </c>
      <c r="E87" s="263">
        <f>SUM(C87/52.143/37)</f>
        <v>32.992949223315712</v>
      </c>
      <c r="F87" s="405"/>
      <c r="G87" s="408"/>
      <c r="H87" s="408"/>
      <c r="I87" s="311"/>
    </row>
    <row r="88" spans="1:9" x14ac:dyDescent="0.35">
      <c r="A88" s="23"/>
      <c r="B88" s="266"/>
      <c r="C88" s="266"/>
      <c r="D88" s="263"/>
      <c r="E88" s="263"/>
      <c r="F88" s="405"/>
      <c r="G88" s="408"/>
      <c r="H88" s="408"/>
      <c r="I88" s="311"/>
    </row>
    <row r="89" spans="1:9" x14ac:dyDescent="0.35">
      <c r="A89" s="260" t="s">
        <v>45</v>
      </c>
      <c r="B89" s="266">
        <v>53498</v>
      </c>
      <c r="C89" s="266">
        <v>58199</v>
      </c>
      <c r="D89" s="263">
        <f>SUM(B89/52.143/37)</f>
        <v>27.729357572289508</v>
      </c>
      <c r="E89" s="263">
        <f>SUM(C89/52.143/37)</f>
        <v>30.16600398799352</v>
      </c>
      <c r="F89" s="405"/>
      <c r="G89" s="408"/>
      <c r="H89" s="408"/>
      <c r="I89" s="311"/>
    </row>
    <row r="90" spans="1:9" x14ac:dyDescent="0.35">
      <c r="A90" s="23"/>
      <c r="B90" s="266"/>
      <c r="C90" s="266"/>
      <c r="D90" s="263"/>
      <c r="E90" s="263"/>
      <c r="F90" s="405"/>
      <c r="G90" s="408"/>
      <c r="H90" s="408"/>
      <c r="I90" s="311"/>
    </row>
    <row r="91" spans="1:9" x14ac:dyDescent="0.35">
      <c r="A91" s="262" t="s">
        <v>46</v>
      </c>
      <c r="B91" s="272">
        <v>49285</v>
      </c>
      <c r="C91" s="273">
        <v>53342</v>
      </c>
      <c r="D91" s="263">
        <f>SUM(B91/52.143/37)</f>
        <v>25.545653817905126</v>
      </c>
      <c r="E91" s="263">
        <f>SUM(C91/52.143/37)</f>
        <v>27.648498852687332</v>
      </c>
      <c r="F91" s="405"/>
      <c r="G91" s="408"/>
      <c r="H91" s="408"/>
      <c r="I91" s="311"/>
    </row>
    <row r="92" spans="1:9" x14ac:dyDescent="0.35">
      <c r="A92" s="7"/>
      <c r="B92" s="7"/>
      <c r="C92" s="10"/>
      <c r="D92" s="16"/>
      <c r="E92" s="16"/>
      <c r="F92" s="241"/>
    </row>
    <row r="93" spans="1:9" x14ac:dyDescent="0.35">
      <c r="D93" s="26"/>
    </row>
    <row r="94" spans="1:9" x14ac:dyDescent="0.35">
      <c r="D94" s="26"/>
    </row>
    <row r="95" spans="1:9" x14ac:dyDescent="0.35">
      <c r="D95" s="26"/>
    </row>
    <row r="96" spans="1:9" x14ac:dyDescent="0.35">
      <c r="D96" s="26"/>
    </row>
    <row r="97" s="26" customFormat="1" x14ac:dyDescent="0.35"/>
    <row r="98" s="26" customFormat="1" x14ac:dyDescent="0.35"/>
    <row r="99" s="26" customFormat="1" x14ac:dyDescent="0.35"/>
    <row r="100" s="26" customFormat="1" x14ac:dyDescent="0.35"/>
    <row r="101" s="26" customFormat="1" x14ac:dyDescent="0.35"/>
    <row r="102" s="26" customFormat="1" x14ac:dyDescent="0.35"/>
    <row r="103" s="26" customFormat="1" x14ac:dyDescent="0.35"/>
    <row r="104" s="26" customFormat="1" x14ac:dyDescent="0.35"/>
    <row r="105" s="26" customFormat="1" x14ac:dyDescent="0.35"/>
    <row r="106" s="26" customFormat="1" x14ac:dyDescent="0.35"/>
    <row r="107" s="26" customFormat="1" x14ac:dyDescent="0.35"/>
    <row r="108" s="26" customFormat="1" x14ac:dyDescent="0.35"/>
    <row r="109" s="26" customFormat="1" x14ac:dyDescent="0.35"/>
    <row r="110" s="26" customFormat="1" x14ac:dyDescent="0.35"/>
    <row r="111" s="26" customFormat="1" x14ac:dyDescent="0.35"/>
    <row r="112" s="26" customFormat="1" x14ac:dyDescent="0.35"/>
    <row r="113" s="26" customFormat="1" x14ac:dyDescent="0.35"/>
    <row r="114" s="26" customFormat="1" x14ac:dyDescent="0.35"/>
    <row r="115" s="26" customFormat="1" x14ac:dyDescent="0.35"/>
    <row r="116" s="26" customFormat="1" x14ac:dyDescent="0.35"/>
    <row r="117" s="26" customFormat="1" x14ac:dyDescent="0.35"/>
    <row r="118" s="26" customFormat="1" x14ac:dyDescent="0.35"/>
    <row r="119" s="26" customFormat="1" x14ac:dyDescent="0.35"/>
    <row r="120" s="26" customFormat="1" x14ac:dyDescent="0.35"/>
    <row r="121" s="26" customFormat="1" x14ac:dyDescent="0.35"/>
    <row r="122" s="26" customFormat="1" x14ac:dyDescent="0.35"/>
    <row r="123" s="26" customFormat="1" x14ac:dyDescent="0.35"/>
    <row r="124" s="26" customFormat="1" x14ac:dyDescent="0.35"/>
    <row r="125" s="26" customFormat="1" x14ac:dyDescent="0.35"/>
    <row r="126" s="26" customFormat="1" x14ac:dyDescent="0.35"/>
    <row r="127" s="26" customFormat="1" x14ac:dyDescent="0.35"/>
    <row r="128" s="26" customFormat="1" x14ac:dyDescent="0.35"/>
    <row r="129" s="26" customFormat="1" x14ac:dyDescent="0.35"/>
    <row r="130" s="26" customFormat="1" x14ac:dyDescent="0.35"/>
    <row r="131" s="26" customFormat="1" x14ac:dyDescent="0.35"/>
    <row r="132" s="26" customFormat="1" x14ac:dyDescent="0.35"/>
    <row r="133" s="26" customFormat="1" x14ac:dyDescent="0.35"/>
    <row r="134" s="26" customFormat="1" x14ac:dyDescent="0.35"/>
    <row r="135" s="26" customFormat="1" x14ac:dyDescent="0.35"/>
    <row r="136" s="26" customFormat="1" x14ac:dyDescent="0.35"/>
    <row r="137" s="26" customFormat="1" x14ac:dyDescent="0.35"/>
    <row r="138" s="26" customFormat="1" x14ac:dyDescent="0.35"/>
    <row r="139" s="26" customFormat="1" x14ac:dyDescent="0.35"/>
    <row r="140" s="26" customFormat="1" x14ac:dyDescent="0.35"/>
    <row r="141" s="26" customFormat="1" x14ac:dyDescent="0.35"/>
    <row r="142" s="26" customFormat="1" x14ac:dyDescent="0.35"/>
    <row r="143" s="26" customFormat="1" x14ac:dyDescent="0.35"/>
    <row r="144" s="26" customFormat="1" x14ac:dyDescent="0.35"/>
    <row r="145" s="26" customFormat="1" x14ac:dyDescent="0.35"/>
    <row r="146" s="26" customFormat="1" x14ac:dyDescent="0.35"/>
    <row r="147" s="26" customFormat="1" x14ac:dyDescent="0.35"/>
    <row r="148" s="26" customFormat="1" x14ac:dyDescent="0.35"/>
    <row r="149" s="26" customFormat="1" x14ac:dyDescent="0.35"/>
    <row r="150" s="26" customFormat="1" x14ac:dyDescent="0.35"/>
    <row r="151" s="26" customFormat="1" x14ac:dyDescent="0.35"/>
    <row r="152" s="26" customFormat="1" x14ac:dyDescent="0.35"/>
    <row r="153" s="26" customFormat="1" x14ac:dyDescent="0.35"/>
    <row r="154" s="26" customFormat="1" x14ac:dyDescent="0.35"/>
    <row r="155" s="26" customFormat="1" x14ac:dyDescent="0.35"/>
    <row r="156" s="26" customFormat="1" x14ac:dyDescent="0.35"/>
    <row r="157" s="26" customFormat="1" x14ac:dyDescent="0.35"/>
    <row r="158" s="26" customFormat="1" x14ac:dyDescent="0.35"/>
    <row r="159" s="26" customFormat="1" x14ac:dyDescent="0.35"/>
    <row r="160" s="26" customFormat="1" x14ac:dyDescent="0.35"/>
    <row r="161" s="26" customFormat="1" x14ac:dyDescent="0.35"/>
    <row r="162" s="26" customFormat="1" x14ac:dyDescent="0.35"/>
    <row r="163" s="26" customFormat="1" x14ac:dyDescent="0.35"/>
    <row r="164" s="26" customFormat="1" x14ac:dyDescent="0.35"/>
    <row r="165" s="26" customFormat="1" x14ac:dyDescent="0.35"/>
    <row r="166" s="26" customFormat="1" x14ac:dyDescent="0.35"/>
    <row r="167" s="26" customFormat="1" x14ac:dyDescent="0.35"/>
    <row r="168" s="26" customFormat="1" x14ac:dyDescent="0.35"/>
    <row r="169" s="26" customFormat="1" x14ac:dyDescent="0.35"/>
    <row r="170" s="26" customFormat="1" x14ac:dyDescent="0.35"/>
    <row r="171" s="26" customFormat="1" x14ac:dyDescent="0.35"/>
    <row r="172" s="26" customFormat="1" x14ac:dyDescent="0.35"/>
    <row r="173" s="26" customFormat="1" x14ac:dyDescent="0.35"/>
    <row r="174" s="26" customFormat="1" x14ac:dyDescent="0.35"/>
    <row r="175" s="26" customFormat="1" x14ac:dyDescent="0.35"/>
    <row r="176" s="26" customFormat="1" x14ac:dyDescent="0.35"/>
    <row r="177" s="26" customFormat="1" x14ac:dyDescent="0.35"/>
    <row r="178" s="26" customFormat="1" x14ac:dyDescent="0.35"/>
    <row r="179" s="26" customFormat="1" x14ac:dyDescent="0.35"/>
    <row r="180" s="26" customFormat="1" x14ac:dyDescent="0.35"/>
    <row r="181" s="26" customFormat="1" x14ac:dyDescent="0.35"/>
    <row r="182" s="26" customFormat="1" x14ac:dyDescent="0.35"/>
    <row r="183" s="26" customFormat="1" x14ac:dyDescent="0.35"/>
    <row r="184" s="26" customFormat="1" x14ac:dyDescent="0.35"/>
    <row r="185" s="26" customFormat="1" x14ac:dyDescent="0.35"/>
    <row r="186" s="26" customFormat="1" x14ac:dyDescent="0.35"/>
    <row r="187" s="26" customFormat="1" x14ac:dyDescent="0.35"/>
    <row r="188" s="26" customFormat="1" x14ac:dyDescent="0.35"/>
    <row r="189" s="26" customFormat="1" x14ac:dyDescent="0.35"/>
    <row r="190" s="26" customFormat="1" x14ac:dyDescent="0.35"/>
    <row r="191" s="26" customFormat="1" x14ac:dyDescent="0.35"/>
    <row r="192" s="26" customFormat="1" x14ac:dyDescent="0.35"/>
    <row r="193" s="26" customFormat="1" x14ac:dyDescent="0.35"/>
    <row r="194" s="26" customFormat="1" x14ac:dyDescent="0.35"/>
    <row r="195" s="26" customFormat="1" x14ac:dyDescent="0.35"/>
    <row r="196" s="26" customFormat="1" x14ac:dyDescent="0.35"/>
    <row r="197" s="26" customFormat="1" x14ac:dyDescent="0.35"/>
    <row r="198" s="26" customFormat="1" x14ac:dyDescent="0.35"/>
    <row r="199" s="26" customFormat="1" x14ac:dyDescent="0.35"/>
    <row r="200" s="26" customFormat="1" x14ac:dyDescent="0.35"/>
    <row r="201" s="26" customFormat="1" x14ac:dyDescent="0.35"/>
    <row r="202" s="26" customFormat="1" x14ac:dyDescent="0.35"/>
    <row r="203" s="26" customFormat="1" x14ac:dyDescent="0.35"/>
    <row r="204" s="26" customFormat="1" x14ac:dyDescent="0.35"/>
    <row r="205" s="26" customFormat="1" x14ac:dyDescent="0.35"/>
    <row r="206" s="26" customFormat="1" x14ac:dyDescent="0.35"/>
    <row r="207" s="26" customFormat="1" x14ac:dyDescent="0.35"/>
    <row r="208" s="26" customFormat="1" x14ac:dyDescent="0.35"/>
    <row r="209" s="26" customFormat="1" x14ac:dyDescent="0.35"/>
    <row r="210" s="26" customFormat="1" x14ac:dyDescent="0.35"/>
    <row r="211" s="26" customFormat="1" x14ac:dyDescent="0.35"/>
    <row r="212" s="26" customFormat="1" x14ac:dyDescent="0.35"/>
    <row r="213" s="26" customFormat="1" x14ac:dyDescent="0.35"/>
    <row r="214" s="26" customFormat="1" x14ac:dyDescent="0.35"/>
    <row r="215" s="26" customFormat="1" x14ac:dyDescent="0.35"/>
    <row r="216" s="26" customFormat="1" x14ac:dyDescent="0.35"/>
    <row r="217" s="26" customFormat="1" x14ac:dyDescent="0.35"/>
    <row r="218" s="26" customFormat="1" x14ac:dyDescent="0.35"/>
    <row r="219" s="26" customFormat="1" x14ac:dyDescent="0.35"/>
    <row r="220" s="26" customFormat="1" x14ac:dyDescent="0.35"/>
    <row r="221" s="26" customFormat="1" x14ac:dyDescent="0.35"/>
    <row r="222" s="26" customFormat="1" x14ac:dyDescent="0.35"/>
    <row r="223" s="26" customFormat="1" x14ac:dyDescent="0.35"/>
    <row r="224" s="26" customFormat="1" x14ac:dyDescent="0.35"/>
    <row r="225" s="26" customFormat="1" x14ac:dyDescent="0.35"/>
    <row r="226" s="26" customFormat="1" x14ac:dyDescent="0.35"/>
    <row r="227" s="26" customFormat="1" x14ac:dyDescent="0.35"/>
    <row r="228" s="26" customFormat="1" x14ac:dyDescent="0.35"/>
    <row r="229" s="26" customFormat="1" x14ac:dyDescent="0.35"/>
    <row r="230" s="26" customFormat="1" x14ac:dyDescent="0.35"/>
    <row r="231" s="26" customFormat="1" x14ac:dyDescent="0.35"/>
    <row r="232" s="26" customFormat="1" x14ac:dyDescent="0.35"/>
    <row r="233" s="26" customFormat="1" x14ac:dyDescent="0.35"/>
    <row r="234" s="26" customFormat="1" x14ac:dyDescent="0.35"/>
    <row r="235" s="26" customFormat="1" x14ac:dyDescent="0.35"/>
    <row r="236" s="26" customFormat="1" x14ac:dyDescent="0.35"/>
    <row r="237" s="26" customFormat="1" x14ac:dyDescent="0.35"/>
    <row r="238" s="26" customFormat="1" x14ac:dyDescent="0.35"/>
    <row r="239" s="26" customFormat="1" x14ac:dyDescent="0.35"/>
    <row r="240" s="26" customFormat="1" x14ac:dyDescent="0.35"/>
    <row r="241" s="26" customFormat="1" x14ac:dyDescent="0.35"/>
    <row r="242" s="26" customFormat="1" x14ac:dyDescent="0.35"/>
    <row r="243" s="26" customFormat="1" x14ac:dyDescent="0.35"/>
    <row r="244" s="26" customFormat="1" x14ac:dyDescent="0.35"/>
    <row r="245" s="26" customFormat="1" x14ac:dyDescent="0.35"/>
    <row r="246" s="26" customFormat="1" x14ac:dyDescent="0.35"/>
    <row r="247" s="26" customFormat="1" x14ac:dyDescent="0.35"/>
    <row r="248" s="26" customFormat="1" x14ac:dyDescent="0.35"/>
    <row r="249" s="26" customFormat="1" x14ac:dyDescent="0.35"/>
    <row r="250" s="26" customFormat="1" x14ac:dyDescent="0.35"/>
    <row r="251" s="26" customFormat="1" x14ac:dyDescent="0.35"/>
    <row r="252" s="26" customFormat="1" x14ac:dyDescent="0.35"/>
    <row r="253" s="26" customFormat="1" x14ac:dyDescent="0.35"/>
    <row r="254" s="26" customFormat="1" x14ac:dyDescent="0.35"/>
    <row r="255" s="26" customFormat="1" x14ac:dyDescent="0.35"/>
    <row r="256" s="26" customFormat="1" x14ac:dyDescent="0.35"/>
    <row r="257" s="26" customFormat="1" x14ac:dyDescent="0.35"/>
    <row r="258" s="26" customFormat="1" x14ac:dyDescent="0.35"/>
    <row r="259" s="26" customFormat="1" x14ac:dyDescent="0.35"/>
    <row r="260" s="26" customFormat="1" x14ac:dyDescent="0.35"/>
    <row r="261" s="26" customFormat="1" x14ac:dyDescent="0.35"/>
    <row r="262" s="26" customFormat="1" x14ac:dyDescent="0.35"/>
    <row r="263" s="26" customFormat="1" x14ac:dyDescent="0.35"/>
    <row r="264" s="26" customFormat="1" x14ac:dyDescent="0.35"/>
    <row r="265" s="26" customFormat="1" x14ac:dyDescent="0.35"/>
    <row r="266" s="26" customFormat="1" x14ac:dyDescent="0.35"/>
    <row r="267" s="26" customFormat="1" x14ac:dyDescent="0.35"/>
    <row r="268" s="26" customFormat="1" x14ac:dyDescent="0.35"/>
    <row r="269" s="26" customFormat="1" x14ac:dyDescent="0.35"/>
    <row r="270" s="26" customFormat="1" x14ac:dyDescent="0.35"/>
    <row r="271" s="26" customFormat="1" x14ac:dyDescent="0.35"/>
    <row r="272" s="26" customFormat="1" x14ac:dyDescent="0.35"/>
    <row r="273" s="26" customFormat="1" x14ac:dyDescent="0.35"/>
    <row r="274" s="26" customFormat="1" x14ac:dyDescent="0.35"/>
    <row r="275" s="26" customFormat="1" x14ac:dyDescent="0.35"/>
    <row r="276" s="26" customFormat="1" x14ac:dyDescent="0.35"/>
    <row r="277" s="26" customFormat="1" x14ac:dyDescent="0.35"/>
    <row r="278" s="26" customFormat="1" x14ac:dyDescent="0.35"/>
    <row r="279" s="26" customFormat="1" x14ac:dyDescent="0.35"/>
    <row r="280" s="26" customFormat="1" x14ac:dyDescent="0.35"/>
    <row r="281" s="26" customFormat="1" x14ac:dyDescent="0.35"/>
    <row r="282" s="26" customFormat="1" x14ac:dyDescent="0.35"/>
    <row r="283" s="26" customFormat="1" x14ac:dyDescent="0.35"/>
    <row r="284" s="26" customFormat="1" x14ac:dyDescent="0.35"/>
    <row r="285" s="26" customFormat="1" x14ac:dyDescent="0.35"/>
    <row r="286" s="26" customFormat="1" x14ac:dyDescent="0.35"/>
    <row r="287" s="26" customFormat="1" x14ac:dyDescent="0.35"/>
    <row r="288" s="26" customFormat="1" x14ac:dyDescent="0.35"/>
    <row r="289" s="26" customFormat="1" x14ac:dyDescent="0.35"/>
    <row r="290" s="26" customFormat="1" x14ac:dyDescent="0.35"/>
    <row r="291" s="26" customFormat="1" x14ac:dyDescent="0.35"/>
    <row r="292" s="26" customFormat="1" x14ac:dyDescent="0.35"/>
    <row r="293" s="26" customFormat="1" x14ac:dyDescent="0.35"/>
    <row r="294" s="26" customFormat="1" x14ac:dyDescent="0.35"/>
    <row r="295" s="26" customFormat="1" x14ac:dyDescent="0.35"/>
    <row r="296" s="26" customFormat="1" x14ac:dyDescent="0.35"/>
    <row r="297" s="26" customFormat="1" x14ac:dyDescent="0.35"/>
    <row r="298" s="26" customFormat="1" x14ac:dyDescent="0.35"/>
    <row r="299" s="26" customFormat="1" x14ac:dyDescent="0.35"/>
    <row r="300" s="26" customFormat="1" x14ac:dyDescent="0.35"/>
    <row r="301" s="26" customFormat="1" x14ac:dyDescent="0.35"/>
    <row r="302" s="26" customFormat="1" x14ac:dyDescent="0.35"/>
    <row r="303" s="26" customFormat="1" x14ac:dyDescent="0.35"/>
    <row r="304" s="26" customFormat="1" x14ac:dyDescent="0.35"/>
    <row r="305" s="26" customFormat="1" x14ac:dyDescent="0.35"/>
    <row r="306" s="26" customFormat="1" x14ac:dyDescent="0.35"/>
    <row r="307" s="26" customFormat="1" x14ac:dyDescent="0.35"/>
    <row r="308" s="26" customFormat="1" x14ac:dyDescent="0.35"/>
    <row r="309" s="26" customFormat="1" x14ac:dyDescent="0.35"/>
    <row r="310" s="26" customFormat="1" x14ac:dyDescent="0.35"/>
    <row r="311" s="26" customFormat="1" x14ac:dyDescent="0.35"/>
    <row r="312" s="26" customFormat="1" x14ac:dyDescent="0.35"/>
    <row r="313" s="26" customFormat="1" x14ac:dyDescent="0.35"/>
    <row r="314" s="26" customFormat="1" x14ac:dyDescent="0.35"/>
    <row r="315" s="26" customFormat="1" x14ac:dyDescent="0.35"/>
    <row r="316" s="26" customFormat="1" x14ac:dyDescent="0.35"/>
    <row r="317" s="26" customFormat="1" x14ac:dyDescent="0.35"/>
    <row r="318" s="26" customFormat="1" x14ac:dyDescent="0.35"/>
    <row r="319" s="26" customFormat="1" x14ac:dyDescent="0.35"/>
    <row r="320" s="26" customFormat="1" x14ac:dyDescent="0.35"/>
    <row r="321" s="26" customFormat="1" x14ac:dyDescent="0.35"/>
    <row r="322" s="26" customFormat="1" x14ac:dyDescent="0.35"/>
    <row r="323" s="26" customFormat="1" x14ac:dyDescent="0.35"/>
    <row r="324" s="26" customFormat="1" x14ac:dyDescent="0.35"/>
    <row r="325" s="26" customFormat="1" x14ac:dyDescent="0.35"/>
    <row r="326" s="26" customFormat="1" x14ac:dyDescent="0.35"/>
    <row r="327" s="26" customFormat="1" x14ac:dyDescent="0.35"/>
    <row r="328" s="26" customFormat="1" x14ac:dyDescent="0.35"/>
    <row r="329" s="26" customFormat="1" x14ac:dyDescent="0.35"/>
    <row r="330" s="26" customFormat="1" x14ac:dyDescent="0.35"/>
    <row r="331" s="26" customFormat="1" x14ac:dyDescent="0.35"/>
    <row r="332" s="26" customFormat="1" x14ac:dyDescent="0.35"/>
    <row r="333" s="26" customFormat="1" x14ac:dyDescent="0.35"/>
    <row r="334" s="26" customFormat="1" x14ac:dyDescent="0.35"/>
    <row r="335" s="26" customFormat="1" x14ac:dyDescent="0.35"/>
    <row r="336" s="26" customFormat="1" x14ac:dyDescent="0.35"/>
    <row r="337" s="26" customFormat="1" x14ac:dyDescent="0.35"/>
    <row r="338" s="26" customFormat="1" x14ac:dyDescent="0.35"/>
    <row r="339" s="26" customFormat="1" x14ac:dyDescent="0.35"/>
    <row r="340" s="26" customFormat="1" x14ac:dyDescent="0.35"/>
    <row r="341" s="26" customFormat="1" x14ac:dyDescent="0.35"/>
    <row r="342" s="26" customFormat="1" x14ac:dyDescent="0.35"/>
    <row r="343" s="26" customFormat="1" x14ac:dyDescent="0.35"/>
    <row r="344" s="26" customFormat="1" x14ac:dyDescent="0.35"/>
    <row r="345" s="26" customFormat="1" x14ac:dyDescent="0.35"/>
    <row r="346" s="26" customFormat="1" x14ac:dyDescent="0.35"/>
    <row r="347" s="26" customFormat="1" x14ac:dyDescent="0.35"/>
    <row r="348" s="26" customFormat="1" x14ac:dyDescent="0.35"/>
    <row r="349" s="26" customFormat="1" x14ac:dyDescent="0.35"/>
    <row r="350" s="26" customFormat="1" x14ac:dyDescent="0.35"/>
    <row r="351" s="26" customFormat="1" x14ac:dyDescent="0.35"/>
    <row r="352" s="26" customFormat="1" x14ac:dyDescent="0.35"/>
    <row r="353" s="26" customFormat="1" x14ac:dyDescent="0.35"/>
    <row r="354" s="26" customFormat="1" x14ac:dyDescent="0.35"/>
    <row r="355" s="26" customFormat="1" x14ac:dyDescent="0.35"/>
    <row r="356" s="26" customFormat="1" x14ac:dyDescent="0.35"/>
    <row r="357" s="26" customFormat="1" x14ac:dyDescent="0.35"/>
    <row r="358" s="26" customFormat="1" x14ac:dyDescent="0.35"/>
    <row r="359" s="26" customFormat="1" x14ac:dyDescent="0.35"/>
    <row r="360" s="26" customFormat="1" x14ac:dyDescent="0.35"/>
    <row r="361" s="26" customFormat="1" x14ac:dyDescent="0.35"/>
    <row r="362" s="26" customFormat="1" x14ac:dyDescent="0.35"/>
    <row r="363" s="26" customFormat="1" x14ac:dyDescent="0.35"/>
    <row r="364" s="26" customFormat="1" x14ac:dyDescent="0.35"/>
    <row r="365" s="26" customFormat="1" x14ac:dyDescent="0.35"/>
    <row r="366" s="26" customFormat="1" x14ac:dyDescent="0.35"/>
    <row r="367" s="26" customFormat="1" x14ac:dyDescent="0.35"/>
    <row r="368" s="26" customFormat="1" x14ac:dyDescent="0.35"/>
    <row r="369" s="26" customFormat="1" x14ac:dyDescent="0.35"/>
    <row r="370" s="26" customFormat="1" x14ac:dyDescent="0.35"/>
    <row r="371" s="26" customFormat="1" x14ac:dyDescent="0.35"/>
    <row r="372" s="26" customFormat="1" x14ac:dyDescent="0.35"/>
    <row r="373" s="26" customFormat="1" x14ac:dyDescent="0.35"/>
    <row r="374" s="26" customFormat="1" x14ac:dyDescent="0.35"/>
    <row r="375" s="26" customFormat="1" x14ac:dyDescent="0.35"/>
    <row r="376" s="26" customFormat="1" x14ac:dyDescent="0.35"/>
    <row r="377" s="26" customFormat="1" x14ac:dyDescent="0.35"/>
    <row r="378" s="26" customFormat="1" x14ac:dyDescent="0.35"/>
    <row r="379" s="26" customFormat="1" x14ac:dyDescent="0.35"/>
    <row r="380" s="26" customFormat="1" x14ac:dyDescent="0.35"/>
    <row r="381" s="26" customFormat="1" x14ac:dyDescent="0.35"/>
    <row r="382" s="26" customFormat="1" x14ac:dyDescent="0.35"/>
    <row r="383" s="26" customFormat="1" x14ac:dyDescent="0.35"/>
    <row r="384" s="26" customFormat="1" x14ac:dyDescent="0.35"/>
    <row r="385" s="26" customFormat="1" x14ac:dyDescent="0.35"/>
    <row r="386" s="26" customFormat="1" x14ac:dyDescent="0.35"/>
    <row r="387" s="26" customFormat="1" x14ac:dyDescent="0.35"/>
    <row r="388" s="26" customFormat="1" x14ac:dyDescent="0.35"/>
    <row r="389" s="26" customFormat="1" x14ac:dyDescent="0.35"/>
    <row r="390" s="26" customFormat="1" x14ac:dyDescent="0.35"/>
    <row r="391" s="26" customFormat="1" x14ac:dyDescent="0.35"/>
    <row r="392" s="26" customFormat="1" x14ac:dyDescent="0.35"/>
    <row r="393" s="26" customFormat="1" x14ac:dyDescent="0.35"/>
    <row r="394" s="26" customFormat="1" x14ac:dyDescent="0.35"/>
    <row r="395" s="26" customFormat="1" x14ac:dyDescent="0.35"/>
    <row r="396" s="26" customFormat="1" x14ac:dyDescent="0.35"/>
    <row r="397" s="26" customFormat="1" x14ac:dyDescent="0.35"/>
    <row r="398" s="26" customFormat="1" x14ac:dyDescent="0.35"/>
    <row r="399" s="26" customFormat="1" x14ac:dyDescent="0.35"/>
    <row r="400" s="26" customFormat="1" x14ac:dyDescent="0.35"/>
    <row r="401" s="26" customFormat="1" x14ac:dyDescent="0.35"/>
    <row r="402" s="26" customFormat="1" x14ac:dyDescent="0.35"/>
    <row r="403" s="26" customFormat="1" x14ac:dyDescent="0.35"/>
    <row r="404" s="26" customFormat="1" x14ac:dyDescent="0.35"/>
    <row r="405" s="26" customFormat="1" x14ac:dyDescent="0.35"/>
    <row r="406" s="26" customFormat="1" x14ac:dyDescent="0.35"/>
    <row r="407" s="26" customFormat="1" x14ac:dyDescent="0.35"/>
    <row r="408" s="26" customFormat="1" x14ac:dyDescent="0.35"/>
    <row r="409" s="26" customFormat="1" x14ac:dyDescent="0.35"/>
    <row r="410" s="26" customFormat="1" x14ac:dyDescent="0.35"/>
    <row r="411" s="26" customFormat="1" x14ac:dyDescent="0.35"/>
    <row r="412" s="26" customFormat="1" x14ac:dyDescent="0.35"/>
    <row r="413" s="26" customFormat="1" x14ac:dyDescent="0.35"/>
    <row r="414" s="26" customFormat="1" x14ac:dyDescent="0.35"/>
    <row r="415" s="26" customFormat="1" x14ac:dyDescent="0.35"/>
    <row r="416" s="26" customFormat="1" x14ac:dyDescent="0.35"/>
    <row r="417" s="26" customFormat="1" x14ac:dyDescent="0.35"/>
    <row r="418" s="26" customFormat="1" x14ac:dyDescent="0.35"/>
    <row r="419" s="26" customFormat="1" x14ac:dyDescent="0.35"/>
    <row r="420" s="26" customFormat="1" x14ac:dyDescent="0.35"/>
    <row r="421" s="26" customFormat="1" x14ac:dyDescent="0.35"/>
    <row r="422" s="26" customFormat="1" x14ac:dyDescent="0.35"/>
    <row r="423" s="26" customFormat="1" x14ac:dyDescent="0.35"/>
    <row r="424" s="26" customFormat="1" x14ac:dyDescent="0.35"/>
    <row r="425" s="26" customFormat="1" x14ac:dyDescent="0.35"/>
    <row r="426" s="26" customFormat="1" x14ac:dyDescent="0.35"/>
    <row r="427" s="26" customFormat="1" x14ac:dyDescent="0.35"/>
    <row r="428" s="26" customFormat="1" x14ac:dyDescent="0.35"/>
    <row r="429" s="26" customFormat="1" x14ac:dyDescent="0.35"/>
    <row r="430" s="26" customFormat="1" x14ac:dyDescent="0.35"/>
    <row r="431" s="26" customFormat="1" x14ac:dyDescent="0.35"/>
    <row r="432" s="26" customFormat="1" x14ac:dyDescent="0.35"/>
    <row r="433" s="26" customFormat="1" x14ac:dyDescent="0.35"/>
    <row r="434" s="26" customFormat="1" x14ac:dyDescent="0.35"/>
    <row r="435" s="26" customFormat="1" x14ac:dyDescent="0.35"/>
    <row r="436" s="26" customFormat="1" x14ac:dyDescent="0.35"/>
    <row r="437" s="26" customFormat="1" x14ac:dyDescent="0.35"/>
    <row r="438" s="26" customFormat="1" x14ac:dyDescent="0.35"/>
    <row r="439" s="26" customFormat="1" x14ac:dyDescent="0.35"/>
    <row r="440" s="26" customFormat="1" x14ac:dyDescent="0.35"/>
    <row r="441" s="26" customFormat="1" x14ac:dyDescent="0.35"/>
    <row r="442" s="26" customFormat="1" x14ac:dyDescent="0.35"/>
    <row r="443" s="26" customFormat="1" x14ac:dyDescent="0.35"/>
    <row r="444" s="26" customFormat="1" x14ac:dyDescent="0.35"/>
    <row r="445" s="26" customFormat="1" x14ac:dyDescent="0.35"/>
    <row r="446" s="26" customFormat="1" x14ac:dyDescent="0.35"/>
    <row r="447" s="26" customFormat="1" x14ac:dyDescent="0.35"/>
    <row r="448" s="26" customFormat="1" x14ac:dyDescent="0.35"/>
    <row r="449" s="26" customFormat="1" x14ac:dyDescent="0.35"/>
    <row r="450" s="26" customFormat="1" x14ac:dyDescent="0.35"/>
    <row r="451" s="26" customFormat="1" x14ac:dyDescent="0.35"/>
    <row r="452" s="26" customFormat="1" x14ac:dyDescent="0.35"/>
    <row r="453" s="26" customFormat="1" x14ac:dyDescent="0.35"/>
    <row r="454" s="26" customFormat="1" x14ac:dyDescent="0.35"/>
    <row r="455" s="26" customFormat="1" x14ac:dyDescent="0.35"/>
    <row r="456" s="26" customFormat="1" x14ac:dyDescent="0.35"/>
    <row r="457" s="26" customFormat="1" x14ac:dyDescent="0.35"/>
    <row r="458" s="26" customFormat="1" x14ac:dyDescent="0.35"/>
    <row r="459" s="26" customFormat="1" x14ac:dyDescent="0.35"/>
    <row r="460" s="26" customFormat="1" x14ac:dyDescent="0.35"/>
    <row r="461" s="26" customFormat="1" x14ac:dyDescent="0.35"/>
    <row r="462" s="26" customFormat="1" x14ac:dyDescent="0.35"/>
    <row r="463" s="26" customFormat="1" x14ac:dyDescent="0.35"/>
    <row r="464" s="26" customFormat="1" x14ac:dyDescent="0.35"/>
    <row r="465" s="26" customFormat="1" x14ac:dyDescent="0.35"/>
    <row r="466" s="26" customFormat="1" x14ac:dyDescent="0.35"/>
    <row r="467" s="26" customFormat="1" x14ac:dyDescent="0.35"/>
    <row r="468" s="26" customFormat="1" x14ac:dyDescent="0.35"/>
    <row r="469" s="26" customFormat="1" x14ac:dyDescent="0.35"/>
    <row r="470" s="26" customFormat="1" x14ac:dyDescent="0.35"/>
    <row r="471" s="26" customFormat="1" x14ac:dyDescent="0.35"/>
    <row r="472" s="26" customFormat="1" x14ac:dyDescent="0.35"/>
    <row r="473" s="26" customFormat="1" x14ac:dyDescent="0.35"/>
    <row r="474" s="26" customFormat="1" x14ac:dyDescent="0.35"/>
    <row r="475" s="26" customFormat="1" x14ac:dyDescent="0.35"/>
    <row r="476" s="26" customFormat="1" x14ac:dyDescent="0.35"/>
    <row r="477" s="26" customFormat="1" x14ac:dyDescent="0.35"/>
    <row r="478" s="26" customFormat="1" x14ac:dyDescent="0.35"/>
    <row r="479" s="26" customFormat="1" x14ac:dyDescent="0.35"/>
    <row r="480" s="26" customFormat="1" x14ac:dyDescent="0.35"/>
    <row r="481" s="26" customFormat="1" x14ac:dyDescent="0.35"/>
    <row r="482" s="26" customFormat="1" x14ac:dyDescent="0.35"/>
    <row r="483" s="26" customFormat="1" x14ac:dyDescent="0.35"/>
    <row r="484" s="26" customFormat="1" x14ac:dyDescent="0.35"/>
    <row r="485" s="26" customFormat="1" x14ac:dyDescent="0.35"/>
    <row r="486" s="26" customFormat="1" x14ac:dyDescent="0.35"/>
    <row r="487" s="26" customFormat="1" x14ac:dyDescent="0.35"/>
    <row r="488" s="26" customFormat="1" x14ac:dyDescent="0.35"/>
    <row r="489" s="26" customFormat="1" x14ac:dyDescent="0.35"/>
    <row r="490" s="26" customFormat="1" x14ac:dyDescent="0.35"/>
    <row r="491" s="26" customFormat="1" x14ac:dyDescent="0.35"/>
    <row r="492" s="26" customFormat="1" x14ac:dyDescent="0.35"/>
    <row r="493" s="26" customFormat="1" x14ac:dyDescent="0.35"/>
    <row r="494" s="26" customFormat="1" x14ac:dyDescent="0.35"/>
    <row r="495" s="26" customFormat="1" x14ac:dyDescent="0.35"/>
    <row r="496" s="26" customFormat="1" x14ac:dyDescent="0.35"/>
    <row r="497" s="26" customFormat="1" x14ac:dyDescent="0.35"/>
    <row r="498" s="26" customFormat="1" x14ac:dyDescent="0.35"/>
    <row r="499" s="26" customFormat="1" x14ac:dyDescent="0.35"/>
    <row r="500" s="26" customFormat="1" x14ac:dyDescent="0.35"/>
    <row r="501" s="26" customFormat="1" x14ac:dyDescent="0.35"/>
    <row r="502" s="26" customFormat="1" x14ac:dyDescent="0.35"/>
    <row r="503" s="26" customFormat="1" x14ac:dyDescent="0.35"/>
    <row r="504" s="26" customFormat="1" x14ac:dyDescent="0.35"/>
    <row r="505" s="26" customFormat="1" x14ac:dyDescent="0.35"/>
    <row r="506" s="26" customFormat="1" x14ac:dyDescent="0.35"/>
    <row r="507" s="26" customFormat="1" x14ac:dyDescent="0.35"/>
    <row r="508" s="26" customFormat="1" x14ac:dyDescent="0.35"/>
    <row r="509" s="26" customFormat="1" x14ac:dyDescent="0.35"/>
    <row r="510" s="26" customFormat="1" x14ac:dyDescent="0.35"/>
    <row r="511" s="26" customFormat="1" x14ac:dyDescent="0.35"/>
    <row r="512" s="26" customFormat="1" x14ac:dyDescent="0.35"/>
    <row r="513" s="26" customFormat="1" x14ac:dyDescent="0.35"/>
    <row r="514" s="26" customFormat="1" x14ac:dyDescent="0.35"/>
    <row r="515" s="26" customFormat="1" x14ac:dyDescent="0.35"/>
    <row r="516" s="26" customFormat="1" x14ac:dyDescent="0.35"/>
    <row r="517" s="26" customFormat="1" x14ac:dyDescent="0.35"/>
    <row r="518" s="26" customFormat="1" x14ac:dyDescent="0.35"/>
    <row r="519" s="26" customFormat="1" x14ac:dyDescent="0.35"/>
    <row r="520" s="26" customFormat="1" x14ac:dyDescent="0.35"/>
    <row r="521" s="26" customFormat="1" x14ac:dyDescent="0.35"/>
    <row r="522" s="26" customFormat="1" x14ac:dyDescent="0.35"/>
    <row r="523" s="26" customFormat="1" x14ac:dyDescent="0.35"/>
    <row r="524" s="26" customFormat="1" x14ac:dyDescent="0.35"/>
    <row r="525" s="26" customFormat="1" x14ac:dyDescent="0.35"/>
    <row r="526" s="26" customFormat="1" x14ac:dyDescent="0.35"/>
    <row r="527" s="26" customFormat="1" x14ac:dyDescent="0.35"/>
    <row r="528" s="26" customFormat="1" x14ac:dyDescent="0.35"/>
    <row r="529" s="26" customFormat="1" x14ac:dyDescent="0.35"/>
    <row r="530" s="26" customFormat="1" x14ac:dyDescent="0.35"/>
    <row r="531" s="26" customFormat="1" x14ac:dyDescent="0.35"/>
    <row r="532" s="26" customFormat="1" x14ac:dyDescent="0.35"/>
    <row r="533" s="26" customFormat="1" x14ac:dyDescent="0.35"/>
    <row r="534" s="26" customFormat="1" x14ac:dyDescent="0.35"/>
    <row r="535" s="26" customFormat="1" x14ac:dyDescent="0.35"/>
    <row r="536" s="26" customFormat="1" x14ac:dyDescent="0.35"/>
    <row r="537" s="26" customFormat="1" x14ac:dyDescent="0.35"/>
    <row r="538" s="26" customFormat="1" x14ac:dyDescent="0.35"/>
    <row r="539" s="26" customFormat="1" x14ac:dyDescent="0.35"/>
    <row r="540" s="26" customFormat="1" x14ac:dyDescent="0.35"/>
    <row r="541" s="26" customFormat="1" x14ac:dyDescent="0.35"/>
    <row r="542" s="26" customFormat="1" x14ac:dyDescent="0.35"/>
    <row r="543" s="26" customFormat="1" x14ac:dyDescent="0.35"/>
    <row r="544" s="26" customFormat="1" x14ac:dyDescent="0.35"/>
    <row r="545" s="26" customFormat="1" x14ac:dyDescent="0.35"/>
    <row r="546" s="26" customFormat="1" x14ac:dyDescent="0.35"/>
    <row r="547" s="26" customFormat="1" x14ac:dyDescent="0.35"/>
    <row r="548" s="26" customFormat="1" x14ac:dyDescent="0.35"/>
    <row r="549" s="26" customFormat="1" x14ac:dyDescent="0.35"/>
    <row r="550" s="26" customFormat="1" x14ac:dyDescent="0.35"/>
    <row r="551" s="26" customFormat="1" x14ac:dyDescent="0.35"/>
    <row r="552" s="26" customFormat="1" x14ac:dyDescent="0.35"/>
    <row r="553" s="26" customFormat="1" x14ac:dyDescent="0.35"/>
    <row r="554" s="26" customFormat="1" x14ac:dyDescent="0.35"/>
    <row r="555" s="26" customFormat="1" x14ac:dyDescent="0.35"/>
    <row r="556" s="26" customFormat="1" x14ac:dyDescent="0.35"/>
    <row r="557" s="26" customFormat="1" x14ac:dyDescent="0.35"/>
    <row r="558" s="26" customFormat="1" x14ac:dyDescent="0.35"/>
    <row r="559" s="26" customFormat="1" x14ac:dyDescent="0.35"/>
    <row r="560" s="26" customFormat="1" x14ac:dyDescent="0.35"/>
    <row r="561" s="26" customFormat="1" x14ac:dyDescent="0.35"/>
    <row r="562" s="26" customFormat="1" x14ac:dyDescent="0.35"/>
    <row r="563" s="26" customFormat="1" x14ac:dyDescent="0.35"/>
    <row r="564" s="26" customFormat="1" x14ac:dyDescent="0.35"/>
    <row r="565" s="26" customFormat="1" x14ac:dyDescent="0.35"/>
    <row r="566" s="26" customFormat="1" x14ac:dyDescent="0.35"/>
    <row r="567" s="26" customFormat="1" x14ac:dyDescent="0.35"/>
    <row r="568" s="26" customFormat="1" x14ac:dyDescent="0.35"/>
    <row r="569" s="26" customFormat="1" x14ac:dyDescent="0.35"/>
    <row r="570" s="26" customFormat="1" x14ac:dyDescent="0.35"/>
    <row r="571" s="26" customFormat="1" x14ac:dyDescent="0.35"/>
    <row r="572" s="26" customFormat="1" x14ac:dyDescent="0.35"/>
    <row r="573" s="26" customFormat="1" x14ac:dyDescent="0.35"/>
    <row r="574" s="26" customFormat="1" x14ac:dyDescent="0.35"/>
    <row r="575" s="26" customFormat="1" x14ac:dyDescent="0.35"/>
    <row r="576" s="26" customFormat="1" x14ac:dyDescent="0.35"/>
    <row r="577" s="26" customFormat="1" x14ac:dyDescent="0.35"/>
    <row r="578" s="26" customFormat="1" x14ac:dyDescent="0.35"/>
    <row r="579" s="26" customFormat="1" x14ac:dyDescent="0.35"/>
    <row r="580" s="26" customFormat="1" x14ac:dyDescent="0.35"/>
    <row r="581" s="26" customFormat="1" x14ac:dyDescent="0.35"/>
    <row r="582" s="26" customFormat="1" x14ac:dyDescent="0.35"/>
    <row r="583" s="26" customFormat="1" x14ac:dyDescent="0.35"/>
    <row r="584" s="26" customFormat="1" x14ac:dyDescent="0.35"/>
    <row r="585" s="26" customFormat="1" x14ac:dyDescent="0.35"/>
    <row r="586" s="26" customFormat="1" x14ac:dyDescent="0.35"/>
    <row r="587" s="26" customFormat="1" x14ac:dyDescent="0.35"/>
    <row r="588" s="26" customFormat="1" x14ac:dyDescent="0.35"/>
    <row r="589" s="26" customFormat="1" x14ac:dyDescent="0.35"/>
    <row r="590" s="26" customFormat="1" x14ac:dyDescent="0.35"/>
    <row r="591" s="26" customFormat="1" x14ac:dyDescent="0.35"/>
    <row r="592" s="26" customFormat="1" x14ac:dyDescent="0.35"/>
    <row r="593" s="26" customFormat="1" x14ac:dyDescent="0.35"/>
    <row r="594" s="26" customFormat="1" x14ac:dyDescent="0.35"/>
    <row r="595" s="26" customFormat="1" x14ac:dyDescent="0.35"/>
    <row r="596" s="26" customFormat="1" x14ac:dyDescent="0.35"/>
    <row r="597" s="26" customFormat="1" x14ac:dyDescent="0.35"/>
    <row r="598" s="26" customFormat="1" x14ac:dyDescent="0.35"/>
    <row r="599" s="26" customFormat="1" x14ac:dyDescent="0.35"/>
    <row r="600" s="26" customFormat="1" x14ac:dyDescent="0.35"/>
    <row r="601" s="26" customFormat="1" x14ac:dyDescent="0.35"/>
    <row r="602" s="26" customFormat="1" x14ac:dyDescent="0.35"/>
    <row r="603" s="26" customFormat="1" x14ac:dyDescent="0.35"/>
    <row r="604" s="26" customFormat="1" x14ac:dyDescent="0.35"/>
    <row r="605" s="26" customFormat="1" x14ac:dyDescent="0.35"/>
    <row r="606" s="26" customFormat="1" x14ac:dyDescent="0.35"/>
    <row r="607" s="26" customFormat="1" x14ac:dyDescent="0.35"/>
    <row r="608" s="26" customFormat="1" x14ac:dyDescent="0.35"/>
    <row r="609" s="26" customFormat="1" x14ac:dyDescent="0.35"/>
    <row r="610" s="26" customFormat="1" x14ac:dyDescent="0.35"/>
    <row r="611" s="26" customFormat="1" x14ac:dyDescent="0.35"/>
    <row r="612" s="26" customFormat="1" x14ac:dyDescent="0.35"/>
    <row r="613" s="26" customFormat="1" x14ac:dyDescent="0.35"/>
    <row r="614" s="26" customFormat="1" x14ac:dyDescent="0.35"/>
    <row r="615" s="26" customFormat="1" x14ac:dyDescent="0.35"/>
    <row r="616" s="26" customFormat="1" x14ac:dyDescent="0.35"/>
    <row r="617" s="26" customFormat="1" x14ac:dyDescent="0.35"/>
    <row r="618" s="26" customFormat="1" x14ac:dyDescent="0.35"/>
    <row r="619" s="26" customFormat="1" x14ac:dyDescent="0.35"/>
    <row r="620" s="26" customFormat="1" x14ac:dyDescent="0.35"/>
    <row r="621" s="26" customFormat="1" x14ac:dyDescent="0.35"/>
    <row r="622" s="26" customFormat="1" x14ac:dyDescent="0.35"/>
    <row r="623" s="26" customFormat="1" x14ac:dyDescent="0.35"/>
    <row r="624" s="26" customFormat="1" x14ac:dyDescent="0.35"/>
    <row r="625" s="26" customFormat="1" x14ac:dyDescent="0.35"/>
    <row r="626" s="26" customFormat="1" x14ac:dyDescent="0.35"/>
    <row r="627" s="26" customFormat="1" x14ac:dyDescent="0.35"/>
    <row r="628" s="26" customFormat="1" x14ac:dyDescent="0.35"/>
    <row r="629" s="26" customFormat="1" x14ac:dyDescent="0.35"/>
    <row r="630" s="26" customFormat="1" x14ac:dyDescent="0.35"/>
    <row r="631" s="26" customFormat="1" x14ac:dyDescent="0.35"/>
    <row r="632" s="26" customFormat="1" x14ac:dyDescent="0.35"/>
    <row r="633" s="26" customFormat="1" x14ac:dyDescent="0.35"/>
    <row r="634" s="26" customFormat="1" x14ac:dyDescent="0.35"/>
    <row r="635" s="26" customFormat="1" x14ac:dyDescent="0.35"/>
    <row r="636" s="26" customFormat="1" x14ac:dyDescent="0.35"/>
    <row r="637" s="26" customFormat="1" x14ac:dyDescent="0.35"/>
    <row r="638" s="26" customFormat="1" x14ac:dyDescent="0.35"/>
    <row r="639" s="26" customFormat="1" x14ac:dyDescent="0.35"/>
    <row r="640" s="26" customFormat="1" x14ac:dyDescent="0.35"/>
    <row r="641" s="26" customFormat="1" x14ac:dyDescent="0.35"/>
    <row r="642" s="26" customFormat="1" x14ac:dyDescent="0.35"/>
    <row r="643" s="26" customFormat="1" x14ac:dyDescent="0.35"/>
    <row r="644" s="26" customFormat="1" x14ac:dyDescent="0.35"/>
    <row r="645" s="26" customFormat="1" x14ac:dyDescent="0.35"/>
    <row r="646" s="26" customFormat="1" x14ac:dyDescent="0.35"/>
    <row r="647" s="26" customFormat="1" x14ac:dyDescent="0.35"/>
    <row r="648" s="26" customFormat="1" x14ac:dyDescent="0.35"/>
    <row r="649" s="26" customFormat="1" x14ac:dyDescent="0.35"/>
    <row r="650" s="26" customFormat="1" x14ac:dyDescent="0.35"/>
    <row r="651" s="26" customFormat="1" x14ac:dyDescent="0.35"/>
    <row r="652" s="26" customFormat="1" x14ac:dyDescent="0.35"/>
    <row r="653" s="26" customFormat="1" x14ac:dyDescent="0.35"/>
    <row r="654" s="26" customFormat="1" x14ac:dyDescent="0.35"/>
    <row r="655" s="26" customFormat="1" x14ac:dyDescent="0.35"/>
    <row r="656" s="26" customFormat="1" x14ac:dyDescent="0.35"/>
    <row r="657" s="26" customFormat="1" x14ac:dyDescent="0.35"/>
    <row r="658" s="26" customFormat="1" x14ac:dyDescent="0.35"/>
    <row r="659" s="26" customFormat="1" x14ac:dyDescent="0.35"/>
    <row r="660" s="26" customFormat="1" x14ac:dyDescent="0.35"/>
    <row r="661" s="26" customFormat="1" x14ac:dyDescent="0.35"/>
    <row r="662" s="26" customFormat="1" x14ac:dyDescent="0.35"/>
    <row r="663" s="26" customFormat="1" x14ac:dyDescent="0.35"/>
    <row r="664" s="26" customFormat="1" x14ac:dyDescent="0.35"/>
    <row r="665" s="26" customFormat="1" x14ac:dyDescent="0.35"/>
    <row r="666" s="26" customFormat="1" x14ac:dyDescent="0.35"/>
    <row r="667" s="26" customFormat="1" x14ac:dyDescent="0.35"/>
    <row r="668" s="26" customFormat="1" x14ac:dyDescent="0.35"/>
    <row r="669" s="26" customFormat="1" x14ac:dyDescent="0.35"/>
    <row r="670" s="26" customFormat="1" x14ac:dyDescent="0.35"/>
    <row r="671" s="26" customFormat="1" x14ac:dyDescent="0.35"/>
    <row r="672" s="26" customFormat="1" x14ac:dyDescent="0.35"/>
    <row r="673" s="26" customFormat="1" x14ac:dyDescent="0.35"/>
    <row r="674" s="26" customFormat="1" x14ac:dyDescent="0.35"/>
    <row r="675" s="26" customFormat="1" x14ac:dyDescent="0.35"/>
    <row r="676" s="26" customFormat="1" x14ac:dyDescent="0.35"/>
    <row r="677" s="26" customFormat="1" x14ac:dyDescent="0.35"/>
    <row r="678" s="26" customFormat="1" x14ac:dyDescent="0.35"/>
    <row r="679" s="26" customFormat="1" x14ac:dyDescent="0.35"/>
    <row r="680" s="26" customFormat="1" x14ac:dyDescent="0.35"/>
    <row r="681" s="26" customFormat="1" x14ac:dyDescent="0.35"/>
    <row r="682" s="26" customFormat="1" x14ac:dyDescent="0.35"/>
    <row r="683" s="26" customFormat="1" x14ac:dyDescent="0.35"/>
    <row r="684" s="26" customFormat="1" x14ac:dyDescent="0.35"/>
    <row r="685" s="26" customFormat="1" x14ac:dyDescent="0.35"/>
    <row r="686" s="26" customFormat="1" x14ac:dyDescent="0.35"/>
    <row r="687" s="26" customFormat="1" x14ac:dyDescent="0.35"/>
    <row r="688" s="26" customFormat="1" x14ac:dyDescent="0.35"/>
    <row r="689" s="26" customFormat="1" x14ac:dyDescent="0.35"/>
    <row r="690" s="26" customFormat="1" x14ac:dyDescent="0.35"/>
    <row r="691" s="26" customFormat="1" x14ac:dyDescent="0.35"/>
    <row r="692" s="26" customFormat="1" x14ac:dyDescent="0.35"/>
    <row r="693" s="26" customFormat="1" x14ac:dyDescent="0.35"/>
    <row r="694" s="26" customFormat="1" x14ac:dyDescent="0.35"/>
    <row r="695" s="26" customFormat="1" x14ac:dyDescent="0.35"/>
    <row r="696" s="26" customFormat="1" x14ac:dyDescent="0.35"/>
    <row r="697" s="26" customFormat="1" x14ac:dyDescent="0.35"/>
    <row r="698" s="26" customFormat="1" x14ac:dyDescent="0.35"/>
    <row r="699" s="26" customFormat="1" x14ac:dyDescent="0.35"/>
    <row r="700" s="26" customFormat="1" x14ac:dyDescent="0.35"/>
    <row r="701" s="26" customFormat="1" x14ac:dyDescent="0.35"/>
    <row r="702" s="26" customFormat="1" x14ac:dyDescent="0.35"/>
    <row r="703" s="26" customFormat="1" x14ac:dyDescent="0.35"/>
    <row r="704" s="26" customFormat="1" x14ac:dyDescent="0.35"/>
    <row r="705" s="26" customFormat="1" x14ac:dyDescent="0.35"/>
    <row r="706" s="26" customFormat="1" x14ac:dyDescent="0.35"/>
    <row r="707" s="26" customFormat="1" x14ac:dyDescent="0.35"/>
    <row r="708" s="26" customFormat="1" x14ac:dyDescent="0.35"/>
    <row r="709" s="26" customFormat="1" x14ac:dyDescent="0.35"/>
    <row r="710" s="26" customFormat="1" x14ac:dyDescent="0.35"/>
    <row r="711" s="26" customFormat="1" x14ac:dyDescent="0.35"/>
    <row r="712" s="26" customFormat="1" x14ac:dyDescent="0.35"/>
    <row r="713" s="26" customFormat="1" x14ac:dyDescent="0.35"/>
    <row r="714" s="26" customFormat="1" x14ac:dyDescent="0.35"/>
    <row r="715" s="26" customFormat="1" x14ac:dyDescent="0.35"/>
    <row r="716" s="26" customFormat="1" x14ac:dyDescent="0.35"/>
    <row r="717" s="26" customFormat="1" x14ac:dyDescent="0.35"/>
    <row r="718" s="26" customFormat="1" x14ac:dyDescent="0.35"/>
    <row r="719" s="26" customFormat="1" x14ac:dyDescent="0.35"/>
    <row r="720" s="26" customFormat="1" x14ac:dyDescent="0.35"/>
    <row r="721" s="26" customFormat="1" x14ac:dyDescent="0.35"/>
    <row r="722" s="26" customFormat="1" x14ac:dyDescent="0.35"/>
    <row r="723" s="26" customFormat="1" x14ac:dyDescent="0.35"/>
    <row r="724" s="26" customFormat="1" x14ac:dyDescent="0.35"/>
    <row r="725" s="26" customFormat="1" x14ac:dyDescent="0.35"/>
    <row r="726" s="26" customFormat="1" x14ac:dyDescent="0.35"/>
    <row r="727" s="26" customFormat="1" x14ac:dyDescent="0.35"/>
    <row r="728" s="26" customFormat="1" x14ac:dyDescent="0.35"/>
    <row r="729" s="26" customFormat="1" x14ac:dyDescent="0.35"/>
    <row r="730" s="26" customFormat="1" x14ac:dyDescent="0.35"/>
    <row r="731" s="26" customFormat="1" x14ac:dyDescent="0.35"/>
    <row r="732" s="26" customFormat="1" x14ac:dyDescent="0.35"/>
    <row r="733" s="26" customFormat="1" x14ac:dyDescent="0.35"/>
    <row r="734" s="26" customFormat="1" x14ac:dyDescent="0.35"/>
    <row r="735" s="26" customFormat="1" x14ac:dyDescent="0.35"/>
    <row r="736" s="26" customFormat="1" x14ac:dyDescent="0.35"/>
    <row r="737" s="26" customFormat="1" x14ac:dyDescent="0.35"/>
    <row r="738" s="26" customFormat="1" x14ac:dyDescent="0.35"/>
    <row r="739" s="26" customFormat="1" x14ac:dyDescent="0.35"/>
    <row r="740" s="26" customFormat="1" x14ac:dyDescent="0.35"/>
    <row r="741" s="26" customFormat="1" x14ac:dyDescent="0.35"/>
    <row r="742" s="26" customFormat="1" x14ac:dyDescent="0.35"/>
    <row r="743" s="26" customFormat="1" x14ac:dyDescent="0.35"/>
    <row r="744" s="26" customFormat="1" x14ac:dyDescent="0.35"/>
    <row r="745" s="26" customFormat="1" x14ac:dyDescent="0.35"/>
    <row r="746" s="26" customFormat="1" x14ac:dyDescent="0.35"/>
    <row r="747" s="26" customFormat="1" x14ac:dyDescent="0.35"/>
    <row r="748" s="26" customFormat="1" x14ac:dyDescent="0.35"/>
    <row r="749" s="26" customFormat="1" x14ac:dyDescent="0.35"/>
    <row r="750" s="26" customFormat="1" x14ac:dyDescent="0.35"/>
    <row r="751" s="26" customFormat="1" x14ac:dyDescent="0.35"/>
    <row r="752" s="26" customFormat="1" x14ac:dyDescent="0.35"/>
    <row r="753" s="26" customFormat="1" x14ac:dyDescent="0.35"/>
    <row r="754" s="26" customFormat="1" x14ac:dyDescent="0.35"/>
    <row r="755" s="26" customFormat="1" x14ac:dyDescent="0.35"/>
    <row r="756" s="26" customFormat="1" x14ac:dyDescent="0.35"/>
    <row r="757" s="26" customFormat="1" x14ac:dyDescent="0.35"/>
    <row r="758" s="26" customFormat="1" x14ac:dyDescent="0.35"/>
    <row r="759" s="26" customFormat="1" x14ac:dyDescent="0.35"/>
    <row r="760" s="26" customFormat="1" x14ac:dyDescent="0.35"/>
    <row r="761" s="26" customFormat="1" x14ac:dyDescent="0.35"/>
    <row r="762" s="26" customFormat="1" x14ac:dyDescent="0.35"/>
    <row r="763" s="26" customFormat="1" x14ac:dyDescent="0.35"/>
    <row r="764" s="26" customFormat="1" x14ac:dyDescent="0.35"/>
    <row r="765" s="26" customFormat="1" x14ac:dyDescent="0.35"/>
    <row r="766" s="26" customFormat="1" x14ac:dyDescent="0.35"/>
    <row r="767" s="26" customFormat="1" x14ac:dyDescent="0.35"/>
    <row r="768" s="26" customFormat="1" x14ac:dyDescent="0.35"/>
    <row r="769" s="26" customFormat="1" x14ac:dyDescent="0.35"/>
    <row r="770" s="26" customFormat="1" x14ac:dyDescent="0.35"/>
    <row r="771" s="26" customFormat="1" x14ac:dyDescent="0.35"/>
    <row r="772" s="26" customFormat="1" x14ac:dyDescent="0.35"/>
    <row r="773" s="26" customFormat="1" x14ac:dyDescent="0.35"/>
    <row r="774" s="26" customFormat="1" x14ac:dyDescent="0.35"/>
    <row r="775" s="26" customFormat="1" x14ac:dyDescent="0.35"/>
    <row r="776" s="26" customFormat="1" x14ac:dyDescent="0.35"/>
    <row r="777" s="26" customFormat="1" x14ac:dyDescent="0.35"/>
    <row r="778" s="26" customFormat="1" x14ac:dyDescent="0.35"/>
    <row r="779" s="26" customFormat="1" x14ac:dyDescent="0.35"/>
    <row r="780" s="26" customFormat="1" x14ac:dyDescent="0.35"/>
    <row r="781" s="26" customFormat="1" x14ac:dyDescent="0.35"/>
    <row r="782" s="26" customFormat="1" x14ac:dyDescent="0.35"/>
    <row r="783" s="26" customFormat="1" x14ac:dyDescent="0.35"/>
    <row r="784" s="26" customFormat="1" x14ac:dyDescent="0.35"/>
    <row r="785" s="26" customFormat="1" x14ac:dyDescent="0.35"/>
    <row r="786" s="26" customFormat="1" x14ac:dyDescent="0.35"/>
    <row r="787" s="26" customFormat="1" x14ac:dyDescent="0.35"/>
    <row r="788" s="26" customFormat="1" x14ac:dyDescent="0.35"/>
    <row r="789" s="26" customFormat="1" x14ac:dyDescent="0.35"/>
    <row r="790" s="26" customFormat="1" x14ac:dyDescent="0.35"/>
    <row r="791" s="26" customFormat="1" x14ac:dyDescent="0.35"/>
    <row r="792" s="26" customFormat="1" x14ac:dyDescent="0.35"/>
    <row r="793" s="26" customFormat="1" x14ac:dyDescent="0.35"/>
    <row r="794" s="26" customFormat="1" x14ac:dyDescent="0.35"/>
    <row r="795" s="26" customFormat="1" x14ac:dyDescent="0.35"/>
    <row r="796" s="26" customFormat="1" x14ac:dyDescent="0.35"/>
    <row r="797" s="26" customFormat="1" x14ac:dyDescent="0.35"/>
    <row r="798" s="26" customFormat="1" x14ac:dyDescent="0.35"/>
    <row r="799" s="26" customFormat="1" x14ac:dyDescent="0.35"/>
    <row r="800" s="26" customFormat="1" x14ac:dyDescent="0.35"/>
    <row r="801" s="26" customFormat="1" x14ac:dyDescent="0.35"/>
    <row r="802" s="26" customFormat="1" x14ac:dyDescent="0.35"/>
    <row r="803" s="26" customFormat="1" x14ac:dyDescent="0.35"/>
    <row r="804" s="26" customFormat="1" x14ac:dyDescent="0.35"/>
    <row r="805" s="26" customFormat="1" x14ac:dyDescent="0.35"/>
    <row r="806" s="26" customFormat="1" x14ac:dyDescent="0.35"/>
    <row r="807" s="26" customFormat="1" x14ac:dyDescent="0.35"/>
    <row r="808" s="26" customFormat="1" x14ac:dyDescent="0.35"/>
    <row r="809" s="26" customFormat="1" x14ac:dyDescent="0.35"/>
    <row r="810" s="26" customFormat="1" x14ac:dyDescent="0.35"/>
    <row r="811" s="26" customFormat="1" x14ac:dyDescent="0.35"/>
    <row r="812" s="26" customFormat="1" x14ac:dyDescent="0.35"/>
    <row r="813" s="26" customFormat="1" x14ac:dyDescent="0.35"/>
    <row r="814" s="26" customFormat="1" x14ac:dyDescent="0.35"/>
    <row r="815" s="26" customFormat="1" x14ac:dyDescent="0.35"/>
    <row r="816" s="26" customFormat="1" x14ac:dyDescent="0.35"/>
    <row r="817" s="26" customFormat="1" x14ac:dyDescent="0.35"/>
    <row r="818" s="26" customFormat="1" x14ac:dyDescent="0.35"/>
    <row r="819" s="26" customFormat="1" x14ac:dyDescent="0.35"/>
    <row r="820" s="26" customFormat="1" x14ac:dyDescent="0.35"/>
    <row r="821" s="26" customFormat="1" x14ac:dyDescent="0.35"/>
    <row r="822" s="26" customFormat="1" x14ac:dyDescent="0.35"/>
    <row r="823" s="26" customFormat="1" x14ac:dyDescent="0.35"/>
    <row r="824" s="26" customFormat="1" x14ac:dyDescent="0.35"/>
    <row r="825" s="26" customFormat="1" x14ac:dyDescent="0.35"/>
    <row r="826" s="26" customFormat="1" x14ac:dyDescent="0.35"/>
    <row r="827" s="26" customFormat="1" x14ac:dyDescent="0.35"/>
    <row r="828" s="26" customFormat="1" x14ac:dyDescent="0.35"/>
    <row r="829" s="26" customFormat="1" x14ac:dyDescent="0.35"/>
    <row r="830" s="26" customFormat="1" x14ac:dyDescent="0.35"/>
    <row r="831" s="26" customFormat="1" x14ac:dyDescent="0.35"/>
    <row r="832" s="26" customFormat="1" x14ac:dyDescent="0.35"/>
    <row r="833" s="26" customFormat="1" x14ac:dyDescent="0.35"/>
    <row r="834" s="26" customFormat="1" x14ac:dyDescent="0.35"/>
    <row r="835" s="26" customFormat="1" x14ac:dyDescent="0.35"/>
    <row r="836" s="26" customFormat="1" x14ac:dyDescent="0.35"/>
    <row r="837" s="26" customFormat="1" x14ac:dyDescent="0.35"/>
    <row r="838" s="26" customFormat="1" x14ac:dyDescent="0.35"/>
    <row r="839" s="26" customFormat="1" x14ac:dyDescent="0.35"/>
    <row r="840" s="26" customFormat="1" x14ac:dyDescent="0.35"/>
    <row r="841" s="26" customFormat="1" x14ac:dyDescent="0.35"/>
    <row r="842" s="26" customFormat="1" x14ac:dyDescent="0.35"/>
    <row r="843" s="26" customFormat="1" x14ac:dyDescent="0.35"/>
    <row r="844" s="26" customFormat="1" x14ac:dyDescent="0.35"/>
    <row r="845" s="26" customFormat="1" x14ac:dyDescent="0.35"/>
    <row r="846" s="26" customFormat="1" x14ac:dyDescent="0.35"/>
    <row r="847" s="26" customFormat="1" x14ac:dyDescent="0.35"/>
    <row r="848" s="26" customFormat="1" x14ac:dyDescent="0.35"/>
    <row r="849" s="26" customFormat="1" x14ac:dyDescent="0.35"/>
    <row r="850" s="26" customFormat="1" x14ac:dyDescent="0.35"/>
    <row r="851" s="26" customFormat="1" x14ac:dyDescent="0.35"/>
    <row r="852" s="26" customFormat="1" x14ac:dyDescent="0.35"/>
    <row r="853" s="26" customFormat="1" x14ac:dyDescent="0.35"/>
    <row r="854" s="26" customFormat="1" x14ac:dyDescent="0.35"/>
    <row r="855" s="26" customFormat="1" x14ac:dyDescent="0.35"/>
    <row r="856" s="26" customFormat="1" x14ac:dyDescent="0.35"/>
    <row r="857" s="26" customFormat="1" x14ac:dyDescent="0.35"/>
    <row r="858" s="26" customFormat="1" x14ac:dyDescent="0.35"/>
    <row r="859" s="26" customFormat="1" x14ac:dyDescent="0.35"/>
    <row r="860" s="26" customFormat="1" x14ac:dyDescent="0.35"/>
    <row r="861" s="26" customFormat="1" x14ac:dyDescent="0.35"/>
    <row r="862" s="26" customFormat="1" x14ac:dyDescent="0.35"/>
    <row r="863" s="26" customFormat="1" x14ac:dyDescent="0.35"/>
    <row r="864" s="26" customFormat="1" x14ac:dyDescent="0.35"/>
    <row r="865" s="26" customFormat="1" x14ac:dyDescent="0.35"/>
    <row r="866" s="26" customFormat="1" x14ac:dyDescent="0.35"/>
    <row r="867" s="26" customFormat="1" x14ac:dyDescent="0.35"/>
    <row r="868" s="26" customFormat="1" x14ac:dyDescent="0.35"/>
    <row r="869" s="26" customFormat="1" x14ac:dyDescent="0.35"/>
    <row r="870" s="26" customFormat="1" x14ac:dyDescent="0.35"/>
    <row r="871" s="26" customFormat="1" x14ac:dyDescent="0.35"/>
    <row r="872" s="26" customFormat="1" x14ac:dyDescent="0.35"/>
    <row r="873" s="26" customFormat="1" x14ac:dyDescent="0.35"/>
    <row r="874" s="26" customFormat="1" x14ac:dyDescent="0.35"/>
    <row r="875" s="26" customFormat="1" x14ac:dyDescent="0.35"/>
    <row r="876" s="26" customFormat="1" x14ac:dyDescent="0.35"/>
    <row r="877" s="26" customFormat="1" x14ac:dyDescent="0.35"/>
    <row r="878" s="26" customFormat="1" x14ac:dyDescent="0.35"/>
    <row r="879" s="26" customFormat="1" x14ac:dyDescent="0.35"/>
    <row r="880" s="26" customFormat="1" x14ac:dyDescent="0.35"/>
    <row r="881" s="26" customFormat="1" x14ac:dyDescent="0.35"/>
    <row r="882" s="26" customFormat="1" x14ac:dyDescent="0.35"/>
    <row r="883" s="26" customFormat="1" x14ac:dyDescent="0.35"/>
    <row r="884" s="26" customFormat="1" x14ac:dyDescent="0.35"/>
    <row r="885" s="26" customFormat="1" x14ac:dyDescent="0.35"/>
    <row r="886" s="26" customFormat="1" x14ac:dyDescent="0.35"/>
    <row r="887" s="26" customFormat="1" x14ac:dyDescent="0.35"/>
    <row r="888" s="26" customFormat="1" x14ac:dyDescent="0.35"/>
    <row r="889" s="26" customFormat="1" x14ac:dyDescent="0.35"/>
    <row r="890" s="26" customFormat="1" x14ac:dyDescent="0.35"/>
    <row r="891" s="26" customFormat="1" x14ac:dyDescent="0.35"/>
    <row r="892" s="26" customFormat="1" x14ac:dyDescent="0.35"/>
    <row r="893" s="26" customFormat="1" x14ac:dyDescent="0.35"/>
    <row r="894" s="26" customFormat="1" x14ac:dyDescent="0.35"/>
    <row r="895" s="26" customFormat="1" x14ac:dyDescent="0.35"/>
    <row r="896" s="26" customFormat="1" x14ac:dyDescent="0.35"/>
    <row r="897" s="26" customFormat="1" x14ac:dyDescent="0.35"/>
    <row r="898" s="26" customFormat="1" x14ac:dyDescent="0.35"/>
    <row r="899" s="26" customFormat="1" x14ac:dyDescent="0.35"/>
    <row r="900" s="26" customFormat="1" x14ac:dyDescent="0.35"/>
    <row r="901" s="26" customFormat="1" x14ac:dyDescent="0.35"/>
    <row r="902" s="26" customFormat="1" x14ac:dyDescent="0.35"/>
    <row r="903" s="26" customFormat="1" x14ac:dyDescent="0.35"/>
    <row r="904" s="26" customFormat="1" x14ac:dyDescent="0.35"/>
    <row r="905" s="26" customFormat="1" x14ac:dyDescent="0.35"/>
    <row r="906" s="26" customFormat="1" x14ac:dyDescent="0.35"/>
    <row r="907" s="26" customFormat="1" x14ac:dyDescent="0.35"/>
    <row r="908" s="26" customFormat="1" x14ac:dyDescent="0.35"/>
    <row r="909" s="26" customFormat="1" x14ac:dyDescent="0.35"/>
    <row r="910" s="26" customFormat="1" x14ac:dyDescent="0.35"/>
    <row r="911" s="26" customFormat="1" x14ac:dyDescent="0.35"/>
    <row r="912" s="26" customFormat="1" x14ac:dyDescent="0.35"/>
    <row r="913" s="26" customFormat="1" x14ac:dyDescent="0.35"/>
    <row r="914" s="26" customFormat="1" x14ac:dyDescent="0.35"/>
    <row r="915" s="26" customFormat="1" x14ac:dyDescent="0.35"/>
    <row r="916" s="26" customFormat="1" x14ac:dyDescent="0.35"/>
    <row r="917" s="26" customFormat="1" x14ac:dyDescent="0.35"/>
    <row r="918" s="26" customFormat="1" x14ac:dyDescent="0.35"/>
    <row r="919" s="26" customFormat="1" x14ac:dyDescent="0.35"/>
    <row r="920" s="26" customFormat="1" x14ac:dyDescent="0.35"/>
    <row r="921" s="26" customFormat="1" x14ac:dyDescent="0.35"/>
    <row r="922" s="26" customFormat="1" x14ac:dyDescent="0.35"/>
    <row r="923" s="26" customFormat="1" x14ac:dyDescent="0.35"/>
    <row r="924" s="26" customFormat="1" x14ac:dyDescent="0.35"/>
    <row r="925" s="26" customFormat="1" x14ac:dyDescent="0.35"/>
    <row r="926" s="26" customFormat="1" x14ac:dyDescent="0.35"/>
    <row r="927" s="26" customFormat="1" x14ac:dyDescent="0.35"/>
    <row r="928" s="26" customFormat="1" x14ac:dyDescent="0.35"/>
    <row r="929" s="26" customFormat="1" x14ac:dyDescent="0.35"/>
    <row r="930" s="26" customFormat="1" x14ac:dyDescent="0.35"/>
    <row r="931" s="26" customFormat="1" x14ac:dyDescent="0.35"/>
    <row r="932" s="26" customFormat="1" x14ac:dyDescent="0.35"/>
    <row r="933" s="26" customFormat="1" x14ac:dyDescent="0.35"/>
    <row r="934" s="26" customFormat="1" x14ac:dyDescent="0.35"/>
    <row r="935" s="26" customFormat="1" x14ac:dyDescent="0.35"/>
    <row r="936" s="26" customFormat="1" x14ac:dyDescent="0.35"/>
    <row r="937" s="26" customFormat="1" x14ac:dyDescent="0.35"/>
    <row r="938" s="26" customFormat="1" x14ac:dyDescent="0.35"/>
    <row r="939" s="26" customFormat="1" x14ac:dyDescent="0.35"/>
    <row r="940" s="26" customFormat="1" x14ac:dyDescent="0.35"/>
    <row r="941" s="26" customFormat="1" x14ac:dyDescent="0.35"/>
    <row r="942" s="26" customFormat="1" x14ac:dyDescent="0.35"/>
    <row r="943" s="26" customFormat="1" x14ac:dyDescent="0.35"/>
    <row r="944" s="26" customFormat="1" x14ac:dyDescent="0.35"/>
    <row r="945" s="26" customFormat="1" x14ac:dyDescent="0.35"/>
    <row r="946" s="26" customFormat="1" x14ac:dyDescent="0.35"/>
    <row r="947" s="26" customFormat="1" x14ac:dyDescent="0.35"/>
    <row r="948" s="26" customFormat="1" x14ac:dyDescent="0.35"/>
    <row r="949" s="26" customFormat="1" x14ac:dyDescent="0.35"/>
    <row r="950" s="26" customFormat="1" x14ac:dyDescent="0.35"/>
    <row r="951" s="26" customFormat="1" x14ac:dyDescent="0.35"/>
    <row r="952" s="26" customFormat="1" x14ac:dyDescent="0.35"/>
    <row r="953" s="26" customFormat="1" x14ac:dyDescent="0.35"/>
    <row r="954" s="26" customFormat="1" x14ac:dyDescent="0.35"/>
    <row r="955" s="26" customFormat="1" x14ac:dyDescent="0.35"/>
    <row r="956" s="26" customFormat="1" x14ac:dyDescent="0.35"/>
    <row r="957" s="26" customFormat="1" x14ac:dyDescent="0.35"/>
    <row r="958" s="26" customFormat="1" x14ac:dyDescent="0.35"/>
    <row r="959" s="26" customFormat="1" x14ac:dyDescent="0.35"/>
    <row r="960" s="26" customFormat="1" x14ac:dyDescent="0.35"/>
    <row r="961" s="26" customFormat="1" x14ac:dyDescent="0.35"/>
    <row r="962" s="26" customFormat="1" x14ac:dyDescent="0.35"/>
    <row r="963" s="26" customFormat="1" x14ac:dyDescent="0.35"/>
    <row r="964" s="26" customFormat="1" x14ac:dyDescent="0.35"/>
    <row r="965" s="26" customFormat="1" x14ac:dyDescent="0.35"/>
    <row r="966" s="26" customFormat="1" x14ac:dyDescent="0.35"/>
    <row r="967" s="26" customFormat="1" x14ac:dyDescent="0.35"/>
    <row r="968" s="26" customFormat="1" x14ac:dyDescent="0.35"/>
    <row r="969" s="26" customFormat="1" x14ac:dyDescent="0.35"/>
    <row r="970" s="26" customFormat="1" x14ac:dyDescent="0.35"/>
    <row r="971" s="26" customFormat="1" x14ac:dyDescent="0.35"/>
    <row r="972" s="26" customFormat="1" x14ac:dyDescent="0.35"/>
    <row r="973" s="26" customFormat="1" x14ac:dyDescent="0.35"/>
    <row r="974" s="26" customFormat="1" x14ac:dyDescent="0.35"/>
    <row r="975" s="26" customFormat="1" x14ac:dyDescent="0.35"/>
    <row r="976" s="26" customFormat="1" x14ac:dyDescent="0.35"/>
    <row r="977" s="26" customFormat="1" x14ac:dyDescent="0.35"/>
    <row r="978" s="26" customFormat="1" x14ac:dyDescent="0.35"/>
    <row r="979" s="26" customFormat="1" x14ac:dyDescent="0.35"/>
    <row r="980" s="26" customFormat="1" x14ac:dyDescent="0.35"/>
    <row r="981" s="26" customFormat="1" x14ac:dyDescent="0.35"/>
    <row r="982" s="26" customFormat="1" x14ac:dyDescent="0.35"/>
    <row r="983" s="26" customFormat="1" x14ac:dyDescent="0.35"/>
    <row r="984" s="26" customFormat="1" x14ac:dyDescent="0.35"/>
    <row r="985" s="26" customFormat="1" x14ac:dyDescent="0.35"/>
    <row r="986" s="26" customFormat="1" x14ac:dyDescent="0.35"/>
    <row r="987" s="26" customFormat="1" x14ac:dyDescent="0.35"/>
    <row r="988" s="26" customFormat="1" x14ac:dyDescent="0.35"/>
    <row r="989" s="26" customFormat="1" x14ac:dyDescent="0.35"/>
    <row r="990" s="26" customFormat="1" x14ac:dyDescent="0.35"/>
    <row r="991" s="26" customFormat="1" x14ac:dyDescent="0.35"/>
    <row r="992" s="26" customFormat="1" x14ac:dyDescent="0.35"/>
    <row r="993" s="26" customFormat="1" x14ac:dyDescent="0.35"/>
    <row r="994" s="26" customFormat="1" x14ac:dyDescent="0.35"/>
    <row r="995" s="26" customFormat="1" x14ac:dyDescent="0.35"/>
    <row r="996" s="26" customFormat="1" x14ac:dyDescent="0.35"/>
    <row r="997" s="26" customFormat="1" x14ac:dyDescent="0.35"/>
    <row r="998" s="26" customFormat="1" x14ac:dyDescent="0.35"/>
    <row r="999" s="26" customFormat="1" x14ac:dyDescent="0.35"/>
    <row r="1000" s="26" customFormat="1" x14ac:dyDescent="0.35"/>
    <row r="1001" s="26" customFormat="1" x14ac:dyDescent="0.35"/>
    <row r="1002" s="26" customFormat="1" x14ac:dyDescent="0.35"/>
    <row r="1003" s="26" customFormat="1" x14ac:dyDescent="0.35"/>
    <row r="1004" s="26" customFormat="1" x14ac:dyDescent="0.35"/>
    <row r="1005" s="26" customFormat="1" x14ac:dyDescent="0.35"/>
    <row r="1006" s="26" customFormat="1" x14ac:dyDescent="0.35"/>
    <row r="1007" s="26" customFormat="1" x14ac:dyDescent="0.35"/>
    <row r="1008" s="26" customFormat="1" x14ac:dyDescent="0.35"/>
    <row r="1009" s="26" customFormat="1" x14ac:dyDescent="0.35"/>
    <row r="1010" s="26" customFormat="1" x14ac:dyDescent="0.35"/>
    <row r="1011" s="26" customFormat="1" x14ac:dyDescent="0.35"/>
    <row r="1012" s="26" customFormat="1" x14ac:dyDescent="0.35"/>
    <row r="1013" s="26" customFormat="1" x14ac:dyDescent="0.35"/>
    <row r="1014" s="26" customFormat="1" x14ac:dyDescent="0.35"/>
    <row r="1015" s="26" customFormat="1" x14ac:dyDescent="0.35"/>
    <row r="1016" s="26" customFormat="1" x14ac:dyDescent="0.35"/>
    <row r="1017" s="26" customFormat="1" x14ac:dyDescent="0.35"/>
    <row r="1018" s="26" customFormat="1" x14ac:dyDescent="0.35"/>
    <row r="1019" s="26" customFormat="1" x14ac:dyDescent="0.35"/>
    <row r="1020" s="26" customFormat="1" x14ac:dyDescent="0.35"/>
    <row r="1021" s="26" customFormat="1" x14ac:dyDescent="0.35"/>
    <row r="1022" s="26" customFormat="1" x14ac:dyDescent="0.35"/>
    <row r="1023" s="26" customFormat="1" x14ac:dyDescent="0.35"/>
    <row r="1024" s="26" customFormat="1" x14ac:dyDescent="0.35"/>
    <row r="1025" s="26" customFormat="1" x14ac:dyDescent="0.35"/>
    <row r="1026" s="26" customFormat="1" x14ac:dyDescent="0.35"/>
    <row r="1027" s="26" customFormat="1" x14ac:dyDescent="0.35"/>
    <row r="1028" s="26" customFormat="1" x14ac:dyDescent="0.35"/>
    <row r="1029" s="26" customFormat="1" x14ac:dyDescent="0.35"/>
    <row r="1030" s="26" customFormat="1" x14ac:dyDescent="0.35"/>
    <row r="1031" s="26" customFormat="1" x14ac:dyDescent="0.35"/>
    <row r="1032" s="26" customFormat="1" x14ac:dyDescent="0.35"/>
    <row r="1033" s="26" customFormat="1" x14ac:dyDescent="0.35"/>
    <row r="1034" s="26" customFormat="1" x14ac:dyDescent="0.35"/>
    <row r="1035" s="26" customFormat="1" x14ac:dyDescent="0.35"/>
    <row r="1036" s="26" customFormat="1" x14ac:dyDescent="0.35"/>
    <row r="1037" s="26" customFormat="1" x14ac:dyDescent="0.35"/>
    <row r="1038" s="26" customFormat="1" x14ac:dyDescent="0.35"/>
    <row r="1039" s="26" customFormat="1" x14ac:dyDescent="0.35"/>
    <row r="1040" s="26" customFormat="1" x14ac:dyDescent="0.35"/>
    <row r="1041" s="26" customFormat="1" x14ac:dyDescent="0.35"/>
    <row r="1042" s="26" customFormat="1" x14ac:dyDescent="0.35"/>
    <row r="1043" s="26" customFormat="1" x14ac:dyDescent="0.35"/>
    <row r="1044" s="26" customFormat="1" x14ac:dyDescent="0.35"/>
    <row r="1045" s="26" customFormat="1" x14ac:dyDescent="0.35"/>
    <row r="1046" s="26" customFormat="1" x14ac:dyDescent="0.35"/>
    <row r="1047" s="26" customFormat="1" x14ac:dyDescent="0.35"/>
    <row r="1048" s="26" customFormat="1" x14ac:dyDescent="0.35"/>
    <row r="1049" s="26" customFormat="1" x14ac:dyDescent="0.35"/>
    <row r="1050" s="26" customFormat="1" x14ac:dyDescent="0.35"/>
    <row r="1051" s="26" customFormat="1" x14ac:dyDescent="0.35"/>
    <row r="1052" s="26" customFormat="1" x14ac:dyDescent="0.35"/>
    <row r="1053" s="26" customFormat="1" x14ac:dyDescent="0.35"/>
    <row r="1054" s="26" customFormat="1" x14ac:dyDescent="0.35"/>
    <row r="1055" s="26" customFormat="1" x14ac:dyDescent="0.35"/>
    <row r="1056" s="26" customFormat="1" x14ac:dyDescent="0.35"/>
    <row r="1057" s="26" customFormat="1" x14ac:dyDescent="0.35"/>
    <row r="1058" s="26" customFormat="1" x14ac:dyDescent="0.35"/>
    <row r="1059" s="26" customFormat="1" x14ac:dyDescent="0.35"/>
    <row r="1060" s="26" customFormat="1" x14ac:dyDescent="0.35"/>
    <row r="1061" s="26" customFormat="1" x14ac:dyDescent="0.35"/>
    <row r="1062" s="26" customFormat="1" x14ac:dyDescent="0.35"/>
    <row r="1063" s="26" customFormat="1" x14ac:dyDescent="0.35"/>
    <row r="1064" s="26" customFormat="1" x14ac:dyDescent="0.35"/>
    <row r="1065" s="26" customFormat="1" x14ac:dyDescent="0.35"/>
    <row r="1066" s="26" customFormat="1" x14ac:dyDescent="0.35"/>
    <row r="1067" s="26" customFormat="1" x14ac:dyDescent="0.35"/>
    <row r="1068" s="26" customFormat="1" x14ac:dyDescent="0.35"/>
    <row r="1069" s="26" customFormat="1" x14ac:dyDescent="0.35"/>
    <row r="1070" s="26" customFormat="1" x14ac:dyDescent="0.35"/>
    <row r="1071" s="26" customFormat="1" x14ac:dyDescent="0.35"/>
    <row r="1072" s="26" customFormat="1" x14ac:dyDescent="0.35"/>
    <row r="1073" s="26" customFormat="1" x14ac:dyDescent="0.35"/>
    <row r="1074" s="26" customFormat="1" x14ac:dyDescent="0.35"/>
    <row r="1075" s="26" customFormat="1" x14ac:dyDescent="0.35"/>
    <row r="1076" s="26" customFormat="1" x14ac:dyDescent="0.35"/>
    <row r="1077" s="26" customFormat="1" x14ac:dyDescent="0.35"/>
    <row r="1078" s="26" customFormat="1" x14ac:dyDescent="0.35"/>
    <row r="1079" s="26" customFormat="1" x14ac:dyDescent="0.35"/>
    <row r="1080" s="26" customFormat="1" x14ac:dyDescent="0.35"/>
    <row r="1081" s="26" customFormat="1" x14ac:dyDescent="0.35"/>
    <row r="1082" s="26" customFormat="1" x14ac:dyDescent="0.35"/>
    <row r="1083" s="26" customFormat="1" x14ac:dyDescent="0.35"/>
    <row r="1084" s="26" customFormat="1" x14ac:dyDescent="0.35"/>
    <row r="1085" s="26" customFormat="1" x14ac:dyDescent="0.35"/>
    <row r="1086" s="26" customFormat="1" x14ac:dyDescent="0.35"/>
    <row r="1087" s="26" customFormat="1" x14ac:dyDescent="0.35"/>
    <row r="1088" s="26" customFormat="1" x14ac:dyDescent="0.35"/>
    <row r="1089" s="26" customFormat="1" x14ac:dyDescent="0.35"/>
    <row r="1090" s="26" customFormat="1" x14ac:dyDescent="0.35"/>
    <row r="1091" s="26" customFormat="1" x14ac:dyDescent="0.35"/>
    <row r="1092" s="26" customFormat="1" x14ac:dyDescent="0.35"/>
    <row r="1093" s="26" customFormat="1" x14ac:dyDescent="0.35"/>
    <row r="1094" s="26" customFormat="1" x14ac:dyDescent="0.35"/>
    <row r="1095" s="26" customFormat="1" x14ac:dyDescent="0.35"/>
    <row r="1096" s="26" customFormat="1" x14ac:dyDescent="0.35"/>
    <row r="1097" s="26" customFormat="1" x14ac:dyDescent="0.35"/>
    <row r="1098" s="26" customFormat="1" x14ac:dyDescent="0.35"/>
    <row r="1099" s="26" customFormat="1" x14ac:dyDescent="0.35"/>
    <row r="1100" s="26" customFormat="1" x14ac:dyDescent="0.35"/>
    <row r="1101" s="26" customFormat="1" x14ac:dyDescent="0.35"/>
    <row r="1102" s="26" customFormat="1" x14ac:dyDescent="0.35"/>
    <row r="1103" s="26" customFormat="1" x14ac:dyDescent="0.35"/>
    <row r="1104" s="26" customFormat="1" x14ac:dyDescent="0.35"/>
    <row r="1105" s="26" customFormat="1" x14ac:dyDescent="0.35"/>
    <row r="1106" s="26" customFormat="1" x14ac:dyDescent="0.35"/>
    <row r="1107" s="26" customFormat="1" x14ac:dyDescent="0.35"/>
    <row r="1108" s="26" customFormat="1" x14ac:dyDescent="0.35"/>
    <row r="1109" s="26" customFormat="1" x14ac:dyDescent="0.35"/>
    <row r="1110" s="26" customFormat="1" x14ac:dyDescent="0.35"/>
    <row r="1111" s="26" customFormat="1" x14ac:dyDescent="0.35"/>
    <row r="1112" s="26" customFormat="1" x14ac:dyDescent="0.35"/>
    <row r="1113" s="26" customFormat="1" x14ac:dyDescent="0.35"/>
    <row r="1114" s="26" customFormat="1" x14ac:dyDescent="0.35"/>
    <row r="1115" s="26" customFormat="1" x14ac:dyDescent="0.35"/>
    <row r="1116" s="26" customFormat="1" x14ac:dyDescent="0.35"/>
    <row r="1117" s="26" customFormat="1" x14ac:dyDescent="0.35"/>
    <row r="1118" s="26" customFormat="1" x14ac:dyDescent="0.35"/>
    <row r="1119" s="26" customFormat="1" x14ac:dyDescent="0.35"/>
    <row r="1120" s="26" customFormat="1" x14ac:dyDescent="0.35"/>
    <row r="1121" s="26" customFormat="1" x14ac:dyDescent="0.35"/>
    <row r="1122" s="26" customFormat="1" x14ac:dyDescent="0.35"/>
    <row r="1123" s="26" customFormat="1" x14ac:dyDescent="0.35"/>
    <row r="1124" s="26" customFormat="1" x14ac:dyDescent="0.35"/>
    <row r="1125" s="26" customFormat="1" x14ac:dyDescent="0.35"/>
    <row r="1126" s="26" customFormat="1" x14ac:dyDescent="0.35"/>
    <row r="1127" s="26" customFormat="1" x14ac:dyDescent="0.35"/>
    <row r="1128" s="26" customFormat="1" x14ac:dyDescent="0.35"/>
    <row r="1129" s="26" customFormat="1" x14ac:dyDescent="0.35"/>
    <row r="1130" s="26" customFormat="1" x14ac:dyDescent="0.35"/>
    <row r="1131" s="26" customFormat="1" x14ac:dyDescent="0.35"/>
    <row r="1132" s="26" customFormat="1" x14ac:dyDescent="0.35"/>
    <row r="1133" s="26" customFormat="1" x14ac:dyDescent="0.35"/>
    <row r="1134" s="26" customFormat="1" x14ac:dyDescent="0.35"/>
    <row r="1135" s="26" customFormat="1" x14ac:dyDescent="0.35"/>
    <row r="1136" s="26" customFormat="1" x14ac:dyDescent="0.35"/>
    <row r="1137" s="26" customFormat="1" x14ac:dyDescent="0.35"/>
    <row r="1138" s="26" customFormat="1" x14ac:dyDescent="0.35"/>
    <row r="1139" s="26" customFormat="1" x14ac:dyDescent="0.35"/>
    <row r="1140" s="26" customFormat="1" x14ac:dyDescent="0.35"/>
    <row r="1141" s="26" customFormat="1" x14ac:dyDescent="0.35"/>
    <row r="1142" s="26" customFormat="1" x14ac:dyDescent="0.35"/>
    <row r="1143" s="26" customFormat="1" x14ac:dyDescent="0.35"/>
    <row r="1144" s="26" customFormat="1" x14ac:dyDescent="0.35"/>
    <row r="1145" s="26" customFormat="1" x14ac:dyDescent="0.35"/>
    <row r="1146" s="26" customFormat="1" x14ac:dyDescent="0.35"/>
    <row r="1147" s="26" customFormat="1" x14ac:dyDescent="0.35"/>
    <row r="1148" s="26" customFormat="1" x14ac:dyDescent="0.35"/>
    <row r="1149" s="26" customFormat="1" x14ac:dyDescent="0.35"/>
    <row r="1150" s="26" customFormat="1" x14ac:dyDescent="0.35"/>
    <row r="1151" s="26" customFormat="1" x14ac:dyDescent="0.35"/>
    <row r="1152" s="26" customFormat="1" x14ac:dyDescent="0.35"/>
    <row r="1153" s="26" customFormat="1" x14ac:dyDescent="0.35"/>
    <row r="1154" s="26" customFormat="1" x14ac:dyDescent="0.35"/>
    <row r="1155" s="26" customFormat="1" x14ac:dyDescent="0.35"/>
    <row r="1156" s="26" customFormat="1" x14ac:dyDescent="0.35"/>
    <row r="1157" s="26" customFormat="1" x14ac:dyDescent="0.35"/>
    <row r="1158" s="26" customFormat="1" x14ac:dyDescent="0.35"/>
    <row r="1159" s="26" customFormat="1" x14ac:dyDescent="0.35"/>
    <row r="1160" s="26" customFormat="1" x14ac:dyDescent="0.35"/>
    <row r="1161" s="26" customFormat="1" x14ac:dyDescent="0.35"/>
    <row r="1162" s="26" customFormat="1" x14ac:dyDescent="0.35"/>
    <row r="1163" s="26" customFormat="1" x14ac:dyDescent="0.35"/>
    <row r="1164" s="26" customFormat="1" x14ac:dyDescent="0.35"/>
    <row r="1165" s="26" customFormat="1" x14ac:dyDescent="0.35"/>
    <row r="1166" s="26" customFormat="1" x14ac:dyDescent="0.35"/>
    <row r="1167" s="26" customFormat="1" x14ac:dyDescent="0.35"/>
    <row r="1168" s="26" customFormat="1" x14ac:dyDescent="0.35"/>
    <row r="1169" s="26" customFormat="1" x14ac:dyDescent="0.35"/>
    <row r="1170" s="26" customFormat="1" x14ac:dyDescent="0.35"/>
    <row r="1171" s="26" customFormat="1" x14ac:dyDescent="0.35"/>
    <row r="1172" s="26" customFormat="1" x14ac:dyDescent="0.35"/>
    <row r="1173" s="26" customFormat="1" x14ac:dyDescent="0.35"/>
    <row r="1174" s="26" customFormat="1" x14ac:dyDescent="0.35"/>
    <row r="1175" s="26" customFormat="1" x14ac:dyDescent="0.35"/>
    <row r="1176" s="26" customFormat="1" x14ac:dyDescent="0.35"/>
    <row r="1177" s="26" customFormat="1" x14ac:dyDescent="0.35"/>
    <row r="1178" s="26" customFormat="1" x14ac:dyDescent="0.35"/>
    <row r="1179" s="26" customFormat="1" x14ac:dyDescent="0.35"/>
    <row r="1180" s="26" customFormat="1" x14ac:dyDescent="0.35"/>
    <row r="1181" s="26" customFormat="1" x14ac:dyDescent="0.35"/>
    <row r="1182" s="26" customFormat="1" x14ac:dyDescent="0.35"/>
    <row r="1183" s="26" customFormat="1" x14ac:dyDescent="0.35"/>
    <row r="1184" s="26" customFormat="1" x14ac:dyDescent="0.35"/>
    <row r="1185" s="26" customFormat="1" x14ac:dyDescent="0.35"/>
    <row r="1186" s="26" customFormat="1" x14ac:dyDescent="0.35"/>
    <row r="1187" s="26" customFormat="1" x14ac:dyDescent="0.35"/>
    <row r="1188" s="26" customFormat="1" x14ac:dyDescent="0.35"/>
    <row r="1189" s="26" customFormat="1" x14ac:dyDescent="0.35"/>
    <row r="1190" s="26" customFormat="1" x14ac:dyDescent="0.35"/>
    <row r="1191" s="26" customFormat="1" x14ac:dyDescent="0.35"/>
    <row r="1192" s="26" customFormat="1" x14ac:dyDescent="0.35"/>
    <row r="1193" s="26" customFormat="1" x14ac:dyDescent="0.35"/>
    <row r="1194" s="26" customFormat="1" x14ac:dyDescent="0.35"/>
    <row r="1195" s="26" customFormat="1" x14ac:dyDescent="0.35"/>
    <row r="1196" s="26" customFormat="1" x14ac:dyDescent="0.35"/>
    <row r="1197" s="26" customFormat="1" x14ac:dyDescent="0.35"/>
    <row r="1198" s="26" customFormat="1" x14ac:dyDescent="0.35"/>
    <row r="1199" s="26" customFormat="1" x14ac:dyDescent="0.35"/>
    <row r="1200" s="26" customFormat="1" x14ac:dyDescent="0.35"/>
    <row r="1201" s="26" customFormat="1" x14ac:dyDescent="0.35"/>
    <row r="1202" s="26" customFormat="1" x14ac:dyDescent="0.35"/>
    <row r="1203" s="26" customFormat="1" x14ac:dyDescent="0.35"/>
    <row r="1204" s="26" customFormat="1" x14ac:dyDescent="0.35"/>
    <row r="1205" s="26" customFormat="1" x14ac:dyDescent="0.35"/>
    <row r="1206" s="26" customFormat="1" x14ac:dyDescent="0.35"/>
    <row r="1207" s="26" customFormat="1" x14ac:dyDescent="0.35"/>
    <row r="1208" s="26" customFormat="1" x14ac:dyDescent="0.35"/>
    <row r="1209" s="26" customFormat="1" x14ac:dyDescent="0.35"/>
    <row r="1210" s="26" customFormat="1" x14ac:dyDescent="0.35"/>
    <row r="1211" s="26" customFormat="1" x14ac:dyDescent="0.35"/>
    <row r="1212" s="26" customFormat="1" x14ac:dyDescent="0.35"/>
    <row r="1213" s="26" customFormat="1" x14ac:dyDescent="0.35"/>
    <row r="1214" s="26" customFormat="1" x14ac:dyDescent="0.35"/>
    <row r="1215" s="26" customFormat="1" x14ac:dyDescent="0.35"/>
    <row r="1216" s="26" customFormat="1" x14ac:dyDescent="0.35"/>
    <row r="1217" s="26" customFormat="1" x14ac:dyDescent="0.35"/>
    <row r="1218" s="26" customFormat="1" x14ac:dyDescent="0.35"/>
    <row r="1219" s="26" customFormat="1" x14ac:dyDescent="0.35"/>
    <row r="1220" s="26" customFormat="1" x14ac:dyDescent="0.35"/>
    <row r="1221" s="26" customFormat="1" x14ac:dyDescent="0.35"/>
    <row r="1222" s="26" customFormat="1" x14ac:dyDescent="0.35"/>
    <row r="1223" s="26" customFormat="1" x14ac:dyDescent="0.35"/>
    <row r="1224" s="26" customFormat="1" x14ac:dyDescent="0.35"/>
    <row r="1225" s="26" customFormat="1" x14ac:dyDescent="0.35"/>
    <row r="1226" s="26" customFormat="1" x14ac:dyDescent="0.35"/>
    <row r="1227" s="26" customFormat="1" x14ac:dyDescent="0.35"/>
    <row r="1228" s="26" customFormat="1" x14ac:dyDescent="0.35"/>
    <row r="1229" s="26" customFormat="1" x14ac:dyDescent="0.35"/>
    <row r="1230" s="26" customFormat="1" x14ac:dyDescent="0.35"/>
    <row r="1231" s="26" customFormat="1" x14ac:dyDescent="0.35"/>
    <row r="1232" s="26" customFormat="1" x14ac:dyDescent="0.35"/>
    <row r="1233" s="26" customFormat="1" x14ac:dyDescent="0.35"/>
    <row r="1234" s="26" customFormat="1" x14ac:dyDescent="0.35"/>
    <row r="1235" s="26" customFormat="1" x14ac:dyDescent="0.35"/>
    <row r="1236" s="26" customFormat="1" x14ac:dyDescent="0.35"/>
    <row r="1237" s="26" customFormat="1" x14ac:dyDescent="0.35"/>
    <row r="1238" s="26" customFormat="1" x14ac:dyDescent="0.35"/>
    <row r="1239" s="26" customFormat="1" x14ac:dyDescent="0.35"/>
    <row r="1240" s="26" customFormat="1" x14ac:dyDescent="0.35"/>
    <row r="1241" s="26" customFormat="1" x14ac:dyDescent="0.35"/>
    <row r="1242" s="26" customFormat="1" x14ac:dyDescent="0.35"/>
    <row r="1243" s="26" customFormat="1" x14ac:dyDescent="0.35"/>
    <row r="1244" s="26" customFormat="1" x14ac:dyDescent="0.35"/>
    <row r="1245" s="26" customFormat="1" x14ac:dyDescent="0.35"/>
    <row r="1246" s="26" customFormat="1" x14ac:dyDescent="0.35"/>
    <row r="1247" s="26" customFormat="1" x14ac:dyDescent="0.35"/>
    <row r="1248" s="26" customFormat="1" x14ac:dyDescent="0.35"/>
    <row r="1249" s="26" customFormat="1" x14ac:dyDescent="0.35"/>
    <row r="1250" s="26" customFormat="1" x14ac:dyDescent="0.35"/>
    <row r="1251" s="26" customFormat="1" x14ac:dyDescent="0.35"/>
    <row r="1252" s="26" customFormat="1" x14ac:dyDescent="0.35"/>
    <row r="1253" s="26" customFormat="1" x14ac:dyDescent="0.35"/>
    <row r="1254" s="26" customFormat="1" x14ac:dyDescent="0.35"/>
    <row r="1255" s="26" customFormat="1" x14ac:dyDescent="0.35"/>
    <row r="1256" s="26" customFormat="1" x14ac:dyDescent="0.35"/>
    <row r="1257" s="26" customFormat="1" x14ac:dyDescent="0.35"/>
    <row r="1258" s="26" customFormat="1" x14ac:dyDescent="0.35"/>
    <row r="1259" s="26" customFormat="1" x14ac:dyDescent="0.35"/>
    <row r="1260" s="26" customFormat="1" x14ac:dyDescent="0.35"/>
    <row r="1261" s="26" customFormat="1" x14ac:dyDescent="0.35"/>
    <row r="1262" s="26" customFormat="1" x14ac:dyDescent="0.35"/>
    <row r="1263" s="26" customFormat="1" x14ac:dyDescent="0.35"/>
    <row r="1264" s="26" customFormat="1" x14ac:dyDescent="0.35"/>
    <row r="1265" s="26" customFormat="1" x14ac:dyDescent="0.35"/>
    <row r="1266" s="26" customFormat="1" x14ac:dyDescent="0.35"/>
    <row r="1267" s="26" customFormat="1" x14ac:dyDescent="0.35"/>
    <row r="1268" s="26" customFormat="1" x14ac:dyDescent="0.35"/>
    <row r="1269" s="26" customFormat="1" x14ac:dyDescent="0.35"/>
    <row r="1270" s="26" customFormat="1" x14ac:dyDescent="0.35"/>
    <row r="1271" s="26" customFormat="1" x14ac:dyDescent="0.35"/>
    <row r="1272" s="26" customFormat="1" x14ac:dyDescent="0.35"/>
    <row r="1273" s="26" customFormat="1" x14ac:dyDescent="0.35"/>
    <row r="1274" s="26" customFormat="1" x14ac:dyDescent="0.35"/>
    <row r="1275" s="26" customFormat="1" x14ac:dyDescent="0.35"/>
    <row r="1276" s="26" customFormat="1" x14ac:dyDescent="0.35"/>
    <row r="1277" s="26" customFormat="1" x14ac:dyDescent="0.35"/>
    <row r="1278" s="26" customFormat="1" x14ac:dyDescent="0.35"/>
    <row r="1279" s="26" customFormat="1" x14ac:dyDescent="0.35"/>
    <row r="1280" s="26" customFormat="1" x14ac:dyDescent="0.35"/>
    <row r="1281" s="26" customFormat="1" x14ac:dyDescent="0.35"/>
    <row r="1282" s="26" customFormat="1" x14ac:dyDescent="0.35"/>
    <row r="1283" s="26" customFormat="1" x14ac:dyDescent="0.35"/>
    <row r="1284" s="26" customFormat="1" x14ac:dyDescent="0.35"/>
    <row r="1285" s="26" customFormat="1" x14ac:dyDescent="0.35"/>
    <row r="1286" s="26" customFormat="1" x14ac:dyDescent="0.35"/>
    <row r="1287" s="26" customFormat="1" x14ac:dyDescent="0.35"/>
    <row r="1288" s="26" customFormat="1" x14ac:dyDescent="0.35"/>
    <row r="1289" s="26" customFormat="1" x14ac:dyDescent="0.35"/>
    <row r="1290" s="26" customFormat="1" x14ac:dyDescent="0.35"/>
    <row r="1291" s="26" customFormat="1" x14ac:dyDescent="0.35"/>
    <row r="1292" s="26" customFormat="1" x14ac:dyDescent="0.35"/>
    <row r="1293" s="26" customFormat="1" x14ac:dyDescent="0.35"/>
    <row r="1294" s="26" customFormat="1" x14ac:dyDescent="0.35"/>
    <row r="1295" s="26" customFormat="1" x14ac:dyDescent="0.35"/>
    <row r="1296" s="26" customFormat="1" x14ac:dyDescent="0.35"/>
    <row r="1297" s="26" customFormat="1" x14ac:dyDescent="0.35"/>
    <row r="1298" s="26" customFormat="1" x14ac:dyDescent="0.35"/>
    <row r="1299" s="26" customFormat="1" x14ac:dyDescent="0.35"/>
    <row r="1300" s="26" customFormat="1" x14ac:dyDescent="0.35"/>
    <row r="1301" s="26" customFormat="1" x14ac:dyDescent="0.35"/>
    <row r="1302" s="26" customFormat="1" x14ac:dyDescent="0.35"/>
    <row r="1303" s="26" customFormat="1" x14ac:dyDescent="0.35"/>
    <row r="1304" s="26" customFormat="1" x14ac:dyDescent="0.35"/>
    <row r="1305" s="26" customFormat="1" x14ac:dyDescent="0.35"/>
    <row r="1306" s="26" customFormat="1" x14ac:dyDescent="0.35"/>
    <row r="1307" s="26" customFormat="1" x14ac:dyDescent="0.35"/>
    <row r="1308" s="26" customFormat="1" x14ac:dyDescent="0.35"/>
    <row r="1309" s="26" customFormat="1" x14ac:dyDescent="0.35"/>
    <row r="1310" s="26" customFormat="1" x14ac:dyDescent="0.35"/>
    <row r="1311" s="26" customFormat="1" x14ac:dyDescent="0.35"/>
    <row r="1312" s="26" customFormat="1" x14ac:dyDescent="0.35"/>
    <row r="1313" s="26" customFormat="1" x14ac:dyDescent="0.35"/>
    <row r="1314" s="26" customFormat="1" x14ac:dyDescent="0.35"/>
    <row r="1315" s="26" customFormat="1" x14ac:dyDescent="0.35"/>
    <row r="1316" s="26" customFormat="1" x14ac:dyDescent="0.35"/>
    <row r="1317" s="26" customFormat="1" x14ac:dyDescent="0.35"/>
    <row r="1318" s="26" customFormat="1" x14ac:dyDescent="0.35"/>
    <row r="1319" s="26" customFormat="1" x14ac:dyDescent="0.35"/>
    <row r="1320" s="26" customFormat="1" x14ac:dyDescent="0.35"/>
    <row r="1321" s="26" customFormat="1" x14ac:dyDescent="0.35"/>
    <row r="1322" s="26" customFormat="1" x14ac:dyDescent="0.35"/>
    <row r="1323" s="26" customFormat="1" x14ac:dyDescent="0.35"/>
    <row r="1324" s="26" customFormat="1" x14ac:dyDescent="0.35"/>
    <row r="1325" s="26" customFormat="1" x14ac:dyDescent="0.35"/>
    <row r="1326" s="26" customFormat="1" x14ac:dyDescent="0.35"/>
    <row r="1327" s="26" customFormat="1" x14ac:dyDescent="0.35"/>
    <row r="1328" s="26" customFormat="1" x14ac:dyDescent="0.35"/>
    <row r="1329" s="26" customFormat="1" x14ac:dyDescent="0.35"/>
    <row r="1330" s="26" customFormat="1" x14ac:dyDescent="0.35"/>
    <row r="1331" s="26" customFormat="1" x14ac:dyDescent="0.35"/>
    <row r="1332" s="26" customFormat="1" x14ac:dyDescent="0.35"/>
    <row r="1333" s="26" customFormat="1" x14ac:dyDescent="0.35"/>
    <row r="1334" s="26" customFormat="1" x14ac:dyDescent="0.35"/>
    <row r="1335" s="26" customFormat="1" x14ac:dyDescent="0.35"/>
    <row r="1336" s="26" customFormat="1" x14ac:dyDescent="0.35"/>
    <row r="1337" s="26" customFormat="1" x14ac:dyDescent="0.35"/>
    <row r="1338" s="26" customFormat="1" x14ac:dyDescent="0.35"/>
    <row r="1339" s="26" customFormat="1" x14ac:dyDescent="0.35"/>
    <row r="1340" s="26" customFormat="1" x14ac:dyDescent="0.35"/>
    <row r="1341" s="26" customFormat="1" x14ac:dyDescent="0.35"/>
    <row r="1342" s="26" customFormat="1" x14ac:dyDescent="0.35"/>
    <row r="1343" s="26" customFormat="1" x14ac:dyDescent="0.35"/>
    <row r="1344" s="26" customFormat="1" x14ac:dyDescent="0.35"/>
    <row r="1345" s="26" customFormat="1" x14ac:dyDescent="0.35"/>
    <row r="1346" s="26" customFormat="1" x14ac:dyDescent="0.35"/>
    <row r="1347" s="26" customFormat="1" x14ac:dyDescent="0.35"/>
    <row r="1348" s="26" customFormat="1" x14ac:dyDescent="0.35"/>
    <row r="1349" s="26" customFormat="1" x14ac:dyDescent="0.35"/>
    <row r="1350" s="26" customFormat="1" x14ac:dyDescent="0.35"/>
    <row r="1351" s="26" customFormat="1" x14ac:dyDescent="0.35"/>
    <row r="1352" s="26" customFormat="1" x14ac:dyDescent="0.35"/>
    <row r="1353" s="26" customFormat="1" x14ac:dyDescent="0.35"/>
    <row r="1354" s="26" customFormat="1" x14ac:dyDescent="0.35"/>
    <row r="1355" s="26" customFormat="1" x14ac:dyDescent="0.35"/>
    <row r="1356" s="26" customFormat="1" x14ac:dyDescent="0.35"/>
    <row r="1357" s="26" customFormat="1" x14ac:dyDescent="0.35"/>
    <row r="1358" s="26" customFormat="1" x14ac:dyDescent="0.35"/>
    <row r="1359" s="26" customFormat="1" x14ac:dyDescent="0.35"/>
    <row r="1360" s="26" customFormat="1" x14ac:dyDescent="0.35"/>
    <row r="1361" s="26" customFormat="1" x14ac:dyDescent="0.35"/>
    <row r="1362" s="26" customFormat="1" x14ac:dyDescent="0.35"/>
    <row r="1363" s="26" customFormat="1" x14ac:dyDescent="0.35"/>
    <row r="1364" s="26" customFormat="1" x14ac:dyDescent="0.35"/>
    <row r="1365" s="26" customFormat="1" x14ac:dyDescent="0.35"/>
    <row r="1366" s="26" customFormat="1" x14ac:dyDescent="0.35"/>
    <row r="1367" s="26" customFormat="1" x14ac:dyDescent="0.35"/>
    <row r="1368" s="26" customFormat="1" x14ac:dyDescent="0.35"/>
    <row r="1369" s="26" customFormat="1" x14ac:dyDescent="0.35"/>
    <row r="1370" s="26" customFormat="1" x14ac:dyDescent="0.35"/>
    <row r="1371" s="26" customFormat="1" x14ac:dyDescent="0.35"/>
    <row r="1372" s="26" customFormat="1" x14ac:dyDescent="0.35"/>
    <row r="1373" s="26" customFormat="1" x14ac:dyDescent="0.35"/>
    <row r="1374" s="26" customFormat="1" x14ac:dyDescent="0.35"/>
    <row r="1375" s="26" customFormat="1" x14ac:dyDescent="0.35"/>
    <row r="1376" s="26" customFormat="1" x14ac:dyDescent="0.35"/>
    <row r="1377" s="26" customFormat="1" x14ac:dyDescent="0.35"/>
    <row r="1378" s="26" customFormat="1" x14ac:dyDescent="0.35"/>
    <row r="1379" s="26" customFormat="1" x14ac:dyDescent="0.35"/>
    <row r="1380" s="26" customFormat="1" x14ac:dyDescent="0.35"/>
    <row r="1381" s="26" customFormat="1" x14ac:dyDescent="0.35"/>
    <row r="1382" s="26" customFormat="1" x14ac:dyDescent="0.35"/>
    <row r="1383" s="26" customFormat="1" x14ac:dyDescent="0.35"/>
    <row r="1384" s="26" customFormat="1" x14ac:dyDescent="0.35"/>
    <row r="1385" s="26" customFormat="1" x14ac:dyDescent="0.35"/>
    <row r="1386" s="26" customFormat="1" x14ac:dyDescent="0.35"/>
    <row r="1387" s="26" customFormat="1" x14ac:dyDescent="0.35"/>
    <row r="1388" s="26" customFormat="1" x14ac:dyDescent="0.35"/>
    <row r="1389" s="26" customFormat="1" x14ac:dyDescent="0.35"/>
    <row r="1390" s="26" customFormat="1" x14ac:dyDescent="0.35"/>
    <row r="1391" s="26" customFormat="1" x14ac:dyDescent="0.35"/>
    <row r="1392" s="26" customFormat="1" x14ac:dyDescent="0.35"/>
    <row r="1393" s="26" customFormat="1" x14ac:dyDescent="0.35"/>
    <row r="1394" s="26" customFormat="1" x14ac:dyDescent="0.35"/>
    <row r="1395" s="26" customFormat="1" x14ac:dyDescent="0.35"/>
    <row r="1396" s="26" customFormat="1" x14ac:dyDescent="0.35"/>
    <row r="1397" s="26" customFormat="1" x14ac:dyDescent="0.35"/>
    <row r="1398" s="26" customFormat="1" x14ac:dyDescent="0.35"/>
    <row r="1399" s="26" customFormat="1" x14ac:dyDescent="0.35"/>
    <row r="1400" s="26" customFormat="1" x14ac:dyDescent="0.35"/>
    <row r="1401" s="26" customFormat="1" x14ac:dyDescent="0.35"/>
    <row r="1402" s="26" customFormat="1" x14ac:dyDescent="0.35"/>
    <row r="1403" s="26" customFormat="1" x14ac:dyDescent="0.35"/>
    <row r="1404" s="26" customFormat="1" x14ac:dyDescent="0.35"/>
    <row r="1405" s="26" customFormat="1" x14ac:dyDescent="0.35"/>
    <row r="1406" s="26" customFormat="1" x14ac:dyDescent="0.35"/>
    <row r="1407" s="26" customFormat="1" x14ac:dyDescent="0.35"/>
    <row r="1408" s="26" customFormat="1" x14ac:dyDescent="0.35"/>
    <row r="1409" s="26" customFormat="1" x14ac:dyDescent="0.35"/>
    <row r="1410" s="26" customFormat="1" x14ac:dyDescent="0.35"/>
    <row r="1411" s="26" customFormat="1" x14ac:dyDescent="0.35"/>
    <row r="1412" s="26" customFormat="1" x14ac:dyDescent="0.35"/>
    <row r="1413" s="26" customFormat="1" x14ac:dyDescent="0.35"/>
    <row r="1414" s="26" customFormat="1" x14ac:dyDescent="0.35"/>
    <row r="1415" s="26" customFormat="1" x14ac:dyDescent="0.35"/>
    <row r="1416" s="26" customFormat="1" x14ac:dyDescent="0.35"/>
    <row r="1417" s="26" customFormat="1" x14ac:dyDescent="0.35"/>
    <row r="1418" s="26" customFormat="1" x14ac:dyDescent="0.35"/>
    <row r="1419" s="26" customFormat="1" x14ac:dyDescent="0.35"/>
    <row r="1420" s="26" customFormat="1" x14ac:dyDescent="0.35"/>
    <row r="1421" s="26" customFormat="1" x14ac:dyDescent="0.35"/>
    <row r="1422" s="26" customFormat="1" x14ac:dyDescent="0.35"/>
    <row r="1423" s="26" customFormat="1" x14ac:dyDescent="0.35"/>
    <row r="1424" s="26" customFormat="1" x14ac:dyDescent="0.35"/>
    <row r="1425" s="26" customFormat="1" x14ac:dyDescent="0.35"/>
    <row r="1426" s="26" customFormat="1" x14ac:dyDescent="0.35"/>
    <row r="1427" s="26" customFormat="1" x14ac:dyDescent="0.35"/>
    <row r="1428" s="26" customFormat="1" x14ac:dyDescent="0.35"/>
    <row r="1429" s="26" customFormat="1" x14ac:dyDescent="0.35"/>
    <row r="1430" s="26" customFormat="1" x14ac:dyDescent="0.35"/>
    <row r="1431" s="26" customFormat="1" x14ac:dyDescent="0.35"/>
    <row r="1432" s="26" customFormat="1" x14ac:dyDescent="0.35"/>
    <row r="1433" s="26" customFormat="1" x14ac:dyDescent="0.35"/>
    <row r="1434" s="26" customFormat="1" x14ac:dyDescent="0.35"/>
    <row r="1435" s="26" customFormat="1" x14ac:dyDescent="0.35"/>
    <row r="1436" s="26" customFormat="1" x14ac:dyDescent="0.35"/>
    <row r="1437" s="26" customFormat="1" x14ac:dyDescent="0.35"/>
    <row r="1438" s="26" customFormat="1" x14ac:dyDescent="0.35"/>
    <row r="1439" s="26" customFormat="1" x14ac:dyDescent="0.35"/>
    <row r="1440" s="26" customFormat="1" x14ac:dyDescent="0.35"/>
    <row r="1441" s="26" customFormat="1" x14ac:dyDescent="0.35"/>
    <row r="1442" s="26" customFormat="1" x14ac:dyDescent="0.35"/>
    <row r="1443" s="26" customFormat="1" x14ac:dyDescent="0.35"/>
    <row r="1444" s="26" customFormat="1" x14ac:dyDescent="0.35"/>
    <row r="1445" s="26" customFormat="1" x14ac:dyDescent="0.35"/>
    <row r="1446" s="26" customFormat="1" x14ac:dyDescent="0.35"/>
    <row r="1447" s="26" customFormat="1" x14ac:dyDescent="0.35"/>
    <row r="1448" s="26" customFormat="1" x14ac:dyDescent="0.35"/>
    <row r="1449" s="26" customFormat="1" x14ac:dyDescent="0.35"/>
    <row r="1450" s="26" customFormat="1" x14ac:dyDescent="0.35"/>
    <row r="1451" s="26" customFormat="1" x14ac:dyDescent="0.35"/>
    <row r="1452" s="26" customFormat="1" x14ac:dyDescent="0.35"/>
    <row r="1453" s="26" customFormat="1" x14ac:dyDescent="0.35"/>
    <row r="1454" s="26" customFormat="1" x14ac:dyDescent="0.35"/>
    <row r="1455" s="26" customFormat="1" x14ac:dyDescent="0.35"/>
    <row r="1456" s="26" customFormat="1" x14ac:dyDescent="0.35"/>
    <row r="1457" s="26" customFormat="1" x14ac:dyDescent="0.35"/>
    <row r="1458" s="26" customFormat="1" x14ac:dyDescent="0.35"/>
    <row r="1459" s="26" customFormat="1" x14ac:dyDescent="0.35"/>
    <row r="1460" s="26" customFormat="1" x14ac:dyDescent="0.35"/>
    <row r="1461" s="26" customFormat="1" x14ac:dyDescent="0.35"/>
    <row r="1462" s="26" customFormat="1" x14ac:dyDescent="0.35"/>
    <row r="1463" s="26" customFormat="1" x14ac:dyDescent="0.35"/>
    <row r="1464" s="26" customFormat="1" x14ac:dyDescent="0.35"/>
    <row r="1465" s="26" customFormat="1" x14ac:dyDescent="0.35"/>
    <row r="1466" s="26" customFormat="1" x14ac:dyDescent="0.35"/>
    <row r="1467" s="26" customFormat="1" x14ac:dyDescent="0.35"/>
    <row r="1468" s="26" customFormat="1" x14ac:dyDescent="0.35"/>
    <row r="1469" s="26" customFormat="1" x14ac:dyDescent="0.35"/>
    <row r="1470" s="26" customFormat="1" x14ac:dyDescent="0.35"/>
    <row r="1471" s="26" customFormat="1" x14ac:dyDescent="0.35"/>
    <row r="1472" s="26" customFormat="1" x14ac:dyDescent="0.35"/>
    <row r="1473" s="26" customFormat="1" x14ac:dyDescent="0.35"/>
    <row r="1474" s="26" customFormat="1" x14ac:dyDescent="0.35"/>
    <row r="1475" s="26" customFormat="1" x14ac:dyDescent="0.35"/>
    <row r="1476" s="26" customFormat="1" x14ac:dyDescent="0.35"/>
    <row r="1477" s="26" customFormat="1" x14ac:dyDescent="0.35"/>
    <row r="1478" s="26" customFormat="1" x14ac:dyDescent="0.35"/>
    <row r="1479" s="26" customFormat="1" x14ac:dyDescent="0.35"/>
    <row r="1480" s="26" customFormat="1" x14ac:dyDescent="0.35"/>
    <row r="1481" s="26" customFormat="1" x14ac:dyDescent="0.35"/>
    <row r="1482" s="26" customFormat="1" x14ac:dyDescent="0.35"/>
    <row r="1483" s="26" customFormat="1" x14ac:dyDescent="0.35"/>
    <row r="1484" s="26" customFormat="1" x14ac:dyDescent="0.35"/>
    <row r="1485" s="26" customFormat="1" x14ac:dyDescent="0.35"/>
    <row r="1486" s="26" customFormat="1" x14ac:dyDescent="0.35"/>
    <row r="1487" s="26" customFormat="1" x14ac:dyDescent="0.35"/>
    <row r="1488" s="26" customFormat="1" x14ac:dyDescent="0.35"/>
    <row r="1489" s="26" customFormat="1" x14ac:dyDescent="0.35"/>
    <row r="1490" s="26" customFormat="1" x14ac:dyDescent="0.35"/>
    <row r="1491" s="26" customFormat="1" x14ac:dyDescent="0.35"/>
    <row r="1492" s="26" customFormat="1" x14ac:dyDescent="0.35"/>
    <row r="1493" s="26" customFormat="1" x14ac:dyDescent="0.35"/>
    <row r="1494" s="26" customFormat="1" x14ac:dyDescent="0.35"/>
    <row r="1495" s="26" customFormat="1" x14ac:dyDescent="0.35"/>
  </sheetData>
  <mergeCells count="2">
    <mergeCell ref="E74:G75"/>
    <mergeCell ref="C2:H2"/>
  </mergeCells>
  <pageMargins left="0.7" right="0.7" top="0.75" bottom="0.75" header="0.3" footer="0.3"/>
  <pageSetup paperSize="9" scale="78" orientation="portrait" verticalDpi="0" r:id="rId1"/>
  <rowBreaks count="1" manualBreakCount="1">
    <brk id="4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EF511-31EE-4EE8-8C32-5C027293222F}">
  <dimension ref="A1:J1493"/>
  <sheetViews>
    <sheetView tabSelected="1" topLeftCell="A71" zoomScale="115" zoomScaleNormal="115" workbookViewId="0">
      <selection activeCell="B78" sqref="B78"/>
    </sheetView>
  </sheetViews>
  <sheetFormatPr defaultColWidth="9.1796875" defaultRowHeight="14.5" x14ac:dyDescent="0.35"/>
  <cols>
    <col min="1" max="1" width="23" style="26" customWidth="1"/>
    <col min="2" max="2" width="21" style="26" customWidth="1"/>
    <col min="3" max="3" width="11.453125" style="26" customWidth="1"/>
    <col min="4" max="4" width="11.453125" style="400" customWidth="1"/>
    <col min="5" max="6" width="11.26953125" style="26" customWidth="1"/>
    <col min="7" max="8" width="11" style="26" customWidth="1"/>
    <col min="9" max="9" width="8.54296875" style="26" bestFit="1" customWidth="1"/>
    <col min="10" max="16384" width="9.1796875" style="26"/>
  </cols>
  <sheetData>
    <row r="1" spans="1:9" ht="18" x14ac:dyDescent="0.4">
      <c r="A1" s="1"/>
      <c r="B1" s="409"/>
      <c r="C1" s="6"/>
      <c r="D1" s="6"/>
      <c r="E1" s="146" t="s">
        <v>104</v>
      </c>
      <c r="F1" s="146"/>
      <c r="G1" s="145"/>
      <c r="H1" s="409"/>
      <c r="I1" s="1"/>
    </row>
    <row r="2" spans="1:9" x14ac:dyDescent="0.35">
      <c r="A2" s="1"/>
      <c r="D2" s="422" t="s">
        <v>103</v>
      </c>
      <c r="E2" s="422"/>
      <c r="F2" s="422"/>
      <c r="G2" s="417"/>
      <c r="H2" s="417"/>
      <c r="I2" s="1"/>
    </row>
    <row r="3" spans="1:9" ht="15" thickBot="1" x14ac:dyDescent="0.4">
      <c r="A3" s="1"/>
      <c r="B3" s="1"/>
      <c r="C3" s="398"/>
      <c r="D3" s="398"/>
      <c r="E3" s="30"/>
      <c r="F3" s="30"/>
      <c r="G3" s="31"/>
      <c r="H3" s="1"/>
      <c r="I3" s="1"/>
    </row>
    <row r="4" spans="1:9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</row>
    <row r="5" spans="1:9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</row>
    <row r="6" spans="1:9" ht="15" thickBot="1" x14ac:dyDescent="0.4">
      <c r="A6" s="71"/>
      <c r="B6" s="341" t="s">
        <v>11</v>
      </c>
      <c r="C6" s="207" t="s">
        <v>85</v>
      </c>
      <c r="D6" s="207" t="s">
        <v>86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</row>
    <row r="7" spans="1:9" ht="15.75" customHeight="1" thickBot="1" x14ac:dyDescent="0.4">
      <c r="A7" s="76"/>
      <c r="B7" s="277" t="s">
        <v>57</v>
      </c>
      <c r="C7" s="278" t="s">
        <v>14</v>
      </c>
      <c r="D7" s="278" t="s">
        <v>14</v>
      </c>
      <c r="E7" s="278" t="s">
        <v>14</v>
      </c>
      <c r="F7" s="279" t="s">
        <v>14</v>
      </c>
      <c r="G7" s="279" t="s">
        <v>14</v>
      </c>
      <c r="H7" s="279" t="s">
        <v>14</v>
      </c>
      <c r="I7" s="29"/>
    </row>
    <row r="8" spans="1:9" ht="15" thickBot="1" x14ac:dyDescent="0.4">
      <c r="A8" s="6"/>
      <c r="B8" s="343">
        <v>3</v>
      </c>
      <c r="C8" s="419">
        <f>C10</f>
        <v>25614</v>
      </c>
      <c r="D8" s="419">
        <f t="shared" ref="D8:H8" si="0">D10</f>
        <v>27535</v>
      </c>
      <c r="E8" s="226">
        <f t="shared" si="0"/>
        <v>2294.5833333333335</v>
      </c>
      <c r="F8" s="227">
        <f t="shared" si="0"/>
        <v>528.06704639165366</v>
      </c>
      <c r="G8" s="228">
        <f t="shared" si="0"/>
        <v>14.272082334909559</v>
      </c>
      <c r="H8" s="325">
        <f t="shared" si="0"/>
        <v>16.243056905360568</v>
      </c>
      <c r="I8" s="418"/>
    </row>
    <row r="9" spans="1:9" ht="15" thickBot="1" x14ac:dyDescent="0.4">
      <c r="A9" s="6"/>
      <c r="B9" s="277" t="s">
        <v>58</v>
      </c>
      <c r="C9" s="281"/>
      <c r="D9" s="281"/>
      <c r="E9" s="282"/>
      <c r="F9" s="282"/>
      <c r="G9" s="283"/>
      <c r="H9" s="327"/>
      <c r="I9" s="418"/>
    </row>
    <row r="10" spans="1:9" ht="15" thickBot="1" x14ac:dyDescent="0.4">
      <c r="A10" s="6"/>
      <c r="B10" s="343">
        <v>3</v>
      </c>
      <c r="C10" s="223">
        <v>25614</v>
      </c>
      <c r="D10" s="223">
        <f>ROUND((C10*1.075),0)</f>
        <v>27535</v>
      </c>
      <c r="E10" s="151">
        <f>D10/12</f>
        <v>2294.5833333333335</v>
      </c>
      <c r="F10" s="152">
        <f>SUM(D10/52.143)</f>
        <v>528.06704639165366</v>
      </c>
      <c r="G10" s="163">
        <f>SUM($D10/52.143)/37</f>
        <v>14.272082334909559</v>
      </c>
      <c r="H10" s="322">
        <f>SUM($D10/52.143)/37*1.1381</f>
        <v>16.243056905360568</v>
      </c>
      <c r="I10" s="311"/>
    </row>
    <row r="11" spans="1:9" ht="15" thickBot="1" x14ac:dyDescent="0.4">
      <c r="A11" s="6"/>
      <c r="B11" s="277" t="s">
        <v>59</v>
      </c>
      <c r="C11" s="281"/>
      <c r="D11" s="281"/>
      <c r="E11" s="282"/>
      <c r="F11" s="282"/>
      <c r="G11" s="283"/>
      <c r="H11" s="327"/>
      <c r="I11" s="311"/>
    </row>
    <row r="12" spans="1:9" x14ac:dyDescent="0.35">
      <c r="A12" s="6"/>
      <c r="B12" s="342">
        <v>3</v>
      </c>
      <c r="C12" s="180">
        <f t="shared" ref="C12:H12" si="1">C10</f>
        <v>25614</v>
      </c>
      <c r="D12" s="180">
        <f t="shared" si="1"/>
        <v>27535</v>
      </c>
      <c r="E12" s="285">
        <f t="shared" si="1"/>
        <v>2294.5833333333335</v>
      </c>
      <c r="F12" s="285">
        <f t="shared" si="1"/>
        <v>528.06704639165366</v>
      </c>
      <c r="G12" s="284">
        <f t="shared" si="1"/>
        <v>14.272082334909559</v>
      </c>
      <c r="H12" s="331">
        <f t="shared" si="1"/>
        <v>16.243056905360568</v>
      </c>
      <c r="I12" s="311"/>
    </row>
    <row r="13" spans="1:9" ht="15" thickBot="1" x14ac:dyDescent="0.4">
      <c r="A13" s="6"/>
      <c r="B13" s="344">
        <v>4</v>
      </c>
      <c r="C13" s="182">
        <v>26016</v>
      </c>
      <c r="D13" s="178">
        <f>ROUND((C13*1.075),0)</f>
        <v>27967</v>
      </c>
      <c r="E13" s="159">
        <f>D13/12</f>
        <v>2330.5833333333335</v>
      </c>
      <c r="F13" s="160">
        <f>SUM(D13/52.143)</f>
        <v>536.35195520012269</v>
      </c>
      <c r="G13" s="172">
        <f>SUM($D13/52.143)/37</f>
        <v>14.495998789192505</v>
      </c>
      <c r="H13" s="333">
        <f>SUM($D13/52.143)/37*1.1381</f>
        <v>16.497896221979989</v>
      </c>
      <c r="I13" s="311"/>
    </row>
    <row r="14" spans="1:9" ht="15" thickBot="1" x14ac:dyDescent="0.4">
      <c r="A14" s="76"/>
      <c r="B14" s="277" t="s">
        <v>15</v>
      </c>
      <c r="C14" s="338"/>
      <c r="D14" s="292"/>
      <c r="E14" s="289"/>
      <c r="F14" s="289"/>
      <c r="G14" s="290"/>
      <c r="H14" s="293"/>
      <c r="I14" s="311"/>
    </row>
    <row r="15" spans="1:9" x14ac:dyDescent="0.35">
      <c r="A15" s="6"/>
      <c r="B15" s="342">
        <v>5</v>
      </c>
      <c r="C15" s="223">
        <v>26427</v>
      </c>
      <c r="D15" s="223">
        <f>ROUND((C15*1.075),0)</f>
        <v>28409</v>
      </c>
      <c r="E15" s="151">
        <f>D15/12</f>
        <v>2367.4166666666665</v>
      </c>
      <c r="F15" s="152">
        <f>SUM(D15/52.143)</f>
        <v>544.82864430508414</v>
      </c>
      <c r="G15" s="163">
        <f>SUM($D15/52.143)/37</f>
        <v>14.725098494732004</v>
      </c>
      <c r="H15" s="322">
        <f>SUM($D15/52.143)/37*1.1381</f>
        <v>16.758634596854492</v>
      </c>
      <c r="I15" s="311"/>
    </row>
    <row r="16" spans="1:9" ht="15" thickBot="1" x14ac:dyDescent="0.4">
      <c r="A16" s="6"/>
      <c r="B16" s="344">
        <v>6</v>
      </c>
      <c r="C16" s="182">
        <v>26847</v>
      </c>
      <c r="D16" s="178">
        <f>ROUND((C16*1.075),0)</f>
        <v>28861</v>
      </c>
      <c r="E16" s="159">
        <f>D16/12</f>
        <v>2405.0833333333335</v>
      </c>
      <c r="F16" s="160">
        <f>SUM(D16/52.143)</f>
        <v>553.49711370653779</v>
      </c>
      <c r="G16" s="172">
        <f>SUM($D16/52.143)/37</f>
        <v>14.959381451528049</v>
      </c>
      <c r="H16" s="333">
        <f>SUM($D16/52.143)/37*1.1381</f>
        <v>17.02527202998407</v>
      </c>
      <c r="I16" s="311"/>
    </row>
    <row r="17" spans="1:9" ht="15" thickBot="1" x14ac:dyDescent="0.4">
      <c r="A17" s="76"/>
      <c r="B17" s="277" t="s">
        <v>16</v>
      </c>
      <c r="C17" s="292"/>
      <c r="D17" s="292"/>
      <c r="E17" s="289"/>
      <c r="F17" s="289"/>
      <c r="G17" s="290"/>
      <c r="H17" s="293"/>
      <c r="I17" s="311"/>
    </row>
    <row r="18" spans="1:9" x14ac:dyDescent="0.35">
      <c r="A18" s="6"/>
      <c r="B18" s="342">
        <v>7</v>
      </c>
      <c r="C18" s="180">
        <v>27274</v>
      </c>
      <c r="D18" s="180">
        <f>ROUND((C18*1.075),0)</f>
        <v>29320</v>
      </c>
      <c r="E18" s="157">
        <f>D18/12</f>
        <v>2443.3333333333335</v>
      </c>
      <c r="F18" s="158">
        <f>SUM(D18/52.143)</f>
        <v>562.29982931553616</v>
      </c>
      <c r="G18" s="170">
        <f>SUM($D18/52.143)/37</f>
        <v>15.19729268420368</v>
      </c>
      <c r="H18" s="328">
        <f>SUM($D18/52.143)/37*1.1381</f>
        <v>17.296038803892205</v>
      </c>
      <c r="I18" s="311"/>
    </row>
    <row r="19" spans="1:9" x14ac:dyDescent="0.35">
      <c r="A19" s="6"/>
      <c r="B19" s="342">
        <v>8</v>
      </c>
      <c r="C19" s="175">
        <v>27709</v>
      </c>
      <c r="D19" s="175">
        <f>ROUND((C19*1.075),0)</f>
        <v>29787</v>
      </c>
      <c r="E19" s="149">
        <f>D19/12</f>
        <v>2482.25</v>
      </c>
      <c r="F19" s="150">
        <f>SUM(D19/52.143)</f>
        <v>571.25596916172833</v>
      </c>
      <c r="G19" s="161">
        <f>SUM($D19/52.143)/37</f>
        <v>15.439350517884549</v>
      </c>
      <c r="H19" s="329">
        <f>SUM($D19/52.143)/37*1.1381</f>
        <v>17.571524824404403</v>
      </c>
      <c r="I19" s="311"/>
    </row>
    <row r="20" spans="1:9" x14ac:dyDescent="0.35">
      <c r="A20" s="6"/>
      <c r="B20" s="342">
        <v>9</v>
      </c>
      <c r="C20" s="175">
        <v>28153</v>
      </c>
      <c r="D20" s="175">
        <f>ROUND((C20*1.075),0)</f>
        <v>30264</v>
      </c>
      <c r="E20" s="149">
        <f>D20/12</f>
        <v>2522</v>
      </c>
      <c r="F20" s="150">
        <f>SUM(D20/52.143)</f>
        <v>580.40388930441281</v>
      </c>
      <c r="G20" s="161">
        <f>SUM($D20/52.143)/37</f>
        <v>15.686591602821968</v>
      </c>
      <c r="H20" s="329">
        <f>SUM($D20/52.143)/37*1.1381</f>
        <v>17.852909903171682</v>
      </c>
      <c r="I20" s="311"/>
    </row>
    <row r="21" spans="1:9" x14ac:dyDescent="0.35">
      <c r="A21" s="6"/>
      <c r="B21" s="345">
        <v>10</v>
      </c>
      <c r="C21" s="223">
        <v>28608</v>
      </c>
      <c r="D21" s="223">
        <f>ROUND((C21*1.075),0)</f>
        <v>30754</v>
      </c>
      <c r="E21" s="151">
        <f>D21/12</f>
        <v>2562.8333333333335</v>
      </c>
      <c r="F21" s="152">
        <f>SUM(D21/52.143)</f>
        <v>589.80112383253743</v>
      </c>
      <c r="G21" s="163">
        <f>SUM($D21/52.143)/37</f>
        <v>15.940570914392904</v>
      </c>
      <c r="H21" s="322">
        <f>SUM($D21/52.143)/37*1.1381</f>
        <v>18.141963757670563</v>
      </c>
      <c r="I21" s="311"/>
    </row>
    <row r="22" spans="1:9" ht="15" thickBot="1" x14ac:dyDescent="0.4">
      <c r="A22" s="6"/>
      <c r="B22" s="344">
        <v>11</v>
      </c>
      <c r="C22" s="182">
        <v>29071</v>
      </c>
      <c r="D22" s="178">
        <f>ROUND((C22*1.075),0)</f>
        <v>31251</v>
      </c>
      <c r="E22" s="159">
        <f>D22/12</f>
        <v>2604.25</v>
      </c>
      <c r="F22" s="160">
        <f>SUM(D22/52.143)</f>
        <v>599.33260456820665</v>
      </c>
      <c r="G22" s="172">
        <f>SUM($D22/52.143)/37</f>
        <v>16.198178501843422</v>
      </c>
      <c r="H22" s="333">
        <f>SUM($D22/52.143)/37*1.1381</f>
        <v>18.435146952947996</v>
      </c>
      <c r="I22" s="311"/>
    </row>
    <row r="23" spans="1:9" ht="15" thickBot="1" x14ac:dyDescent="0.4">
      <c r="A23" s="76"/>
      <c r="B23" s="277" t="s">
        <v>17</v>
      </c>
      <c r="C23" s="292"/>
      <c r="D23" s="292"/>
      <c r="E23" s="289"/>
      <c r="F23" s="289"/>
      <c r="G23" s="290"/>
      <c r="H23" s="293"/>
      <c r="I23" s="311"/>
    </row>
    <row r="24" spans="1:9" x14ac:dyDescent="0.35">
      <c r="A24" s="6"/>
      <c r="B24" s="342">
        <v>12</v>
      </c>
      <c r="C24" s="180">
        <v>29542</v>
      </c>
      <c r="D24" s="180">
        <f t="shared" ref="D24:D29" si="2">ROUND((C24*1.075),0)</f>
        <v>31758</v>
      </c>
      <c r="E24" s="157">
        <f t="shared" ref="E24:E29" si="3">D24/12</f>
        <v>2646.5</v>
      </c>
      <c r="F24" s="158">
        <f t="shared" ref="F24:F29" si="4">SUM(D24/52.143)</f>
        <v>609.05586560036818</v>
      </c>
      <c r="G24" s="170">
        <f t="shared" ref="G24:G29" si="5">SUM($D24/52.143)/37</f>
        <v>16.460969340550491</v>
      </c>
      <c r="H24" s="328">
        <f t="shared" ref="H24:H29" si="6">SUM($D24/52.143)/37*1.1381</f>
        <v>18.734229206480514</v>
      </c>
      <c r="I24" s="311"/>
    </row>
    <row r="25" spans="1:9" x14ac:dyDescent="0.35">
      <c r="A25" s="6"/>
      <c r="B25" s="342">
        <v>13</v>
      </c>
      <c r="C25" s="175">
        <v>30023</v>
      </c>
      <c r="D25" s="175">
        <f t="shared" si="2"/>
        <v>32275</v>
      </c>
      <c r="E25" s="149">
        <f t="shared" si="3"/>
        <v>2689.5833333333335</v>
      </c>
      <c r="F25" s="150">
        <f t="shared" si="4"/>
        <v>618.97090692902214</v>
      </c>
      <c r="G25" s="161">
        <f t="shared" si="5"/>
        <v>16.728943430514111</v>
      </c>
      <c r="H25" s="329">
        <f t="shared" si="6"/>
        <v>19.039210518268106</v>
      </c>
      <c r="I25" s="311"/>
    </row>
    <row r="26" spans="1:9" x14ac:dyDescent="0.35">
      <c r="A26" s="6"/>
      <c r="B26" s="342">
        <v>14</v>
      </c>
      <c r="C26" s="175">
        <v>30515</v>
      </c>
      <c r="D26" s="175">
        <f t="shared" si="2"/>
        <v>32804</v>
      </c>
      <c r="E26" s="149">
        <f t="shared" si="3"/>
        <v>2733.6666666666665</v>
      </c>
      <c r="F26" s="150">
        <f t="shared" si="4"/>
        <v>629.1160846134668</v>
      </c>
      <c r="G26" s="161">
        <f t="shared" si="5"/>
        <v>17.003137421985588</v>
      </c>
      <c r="H26" s="329">
        <f t="shared" si="6"/>
        <v>19.351270699961795</v>
      </c>
      <c r="I26" s="311"/>
    </row>
    <row r="27" spans="1:9" x14ac:dyDescent="0.35">
      <c r="A27" s="6"/>
      <c r="B27" s="342">
        <v>15</v>
      </c>
      <c r="C27" s="175">
        <v>31015</v>
      </c>
      <c r="D27" s="175">
        <f t="shared" si="2"/>
        <v>33341</v>
      </c>
      <c r="E27" s="149">
        <f t="shared" si="3"/>
        <v>2778.4166666666665</v>
      </c>
      <c r="F27" s="150">
        <f t="shared" si="4"/>
        <v>639.41468653510537</v>
      </c>
      <c r="G27" s="161">
        <f t="shared" si="5"/>
        <v>17.281478014462309</v>
      </c>
      <c r="H27" s="329">
        <f t="shared" si="6"/>
        <v>19.668050128259551</v>
      </c>
      <c r="I27" s="311"/>
    </row>
    <row r="28" spans="1:9" x14ac:dyDescent="0.35">
      <c r="A28" s="6"/>
      <c r="B28" s="342">
        <v>16</v>
      </c>
      <c r="C28" s="223">
        <v>31525</v>
      </c>
      <c r="D28" s="223">
        <f t="shared" si="2"/>
        <v>33889</v>
      </c>
      <c r="E28" s="151">
        <f t="shared" si="3"/>
        <v>2824.0833333333335</v>
      </c>
      <c r="F28" s="152">
        <f t="shared" si="4"/>
        <v>649.92424678288546</v>
      </c>
      <c r="G28" s="163">
        <f t="shared" si="5"/>
        <v>17.56552018332123</v>
      </c>
      <c r="H28" s="322">
        <f t="shared" si="6"/>
        <v>19.99131852063789</v>
      </c>
      <c r="I28" s="311"/>
    </row>
    <row r="29" spans="1:9" ht="15" thickBot="1" x14ac:dyDescent="0.4">
      <c r="A29" s="6"/>
      <c r="B29" s="345">
        <v>17</v>
      </c>
      <c r="C29" s="182">
        <v>32046</v>
      </c>
      <c r="D29" s="182">
        <f t="shared" si="2"/>
        <v>34449</v>
      </c>
      <c r="E29" s="159">
        <f t="shared" si="3"/>
        <v>2870.75</v>
      </c>
      <c r="F29" s="160">
        <f t="shared" si="4"/>
        <v>660.66394338645648</v>
      </c>
      <c r="G29" s="172">
        <f t="shared" si="5"/>
        <v>17.855782253688012</v>
      </c>
      <c r="H29" s="333">
        <f t="shared" si="6"/>
        <v>20.321665782922324</v>
      </c>
      <c r="I29" s="311"/>
    </row>
    <row r="30" spans="1:9" ht="15" thickBot="1" x14ac:dyDescent="0.4">
      <c r="A30" s="76"/>
      <c r="B30" s="277" t="s">
        <v>18</v>
      </c>
      <c r="C30" s="292"/>
      <c r="D30" s="292"/>
      <c r="E30" s="289"/>
      <c r="F30" s="289"/>
      <c r="G30" s="290"/>
      <c r="H30" s="293"/>
      <c r="I30" s="311"/>
    </row>
    <row r="31" spans="1:9" s="1" customFormat="1" ht="15.75" customHeight="1" x14ac:dyDescent="0.2">
      <c r="B31" s="346">
        <v>18</v>
      </c>
      <c r="C31" s="339">
        <v>32578</v>
      </c>
      <c r="D31" s="296">
        <f>ROUND((C31*1.075),0)</f>
        <v>35021</v>
      </c>
      <c r="E31" s="297">
        <f>D31/12</f>
        <v>2918.4166666666665</v>
      </c>
      <c r="F31" s="297">
        <f>SUM(D31/52.143)</f>
        <v>671.63377634581821</v>
      </c>
      <c r="G31" s="298">
        <f>SUM($D31/52.143)/37</f>
        <v>18.152264225562654</v>
      </c>
      <c r="H31" s="336">
        <f>SUM($D31/52.143)/37*1.1381</f>
        <v>20.659091915112853</v>
      </c>
      <c r="I31" s="311"/>
    </row>
    <row r="32" spans="1:9" x14ac:dyDescent="0.35">
      <c r="A32" s="6"/>
      <c r="B32" s="342">
        <v>19</v>
      </c>
      <c r="C32" s="180">
        <v>33119</v>
      </c>
      <c r="D32" s="180">
        <f>ROUND((C32*1.075),0)</f>
        <v>35603</v>
      </c>
      <c r="E32" s="157">
        <f>D32/12</f>
        <v>2966.9166666666665</v>
      </c>
      <c r="F32" s="158">
        <f>SUM(D32/52.143)</f>
        <v>682.79538960167235</v>
      </c>
      <c r="G32" s="170">
        <f>SUM($D32/52.143)/37</f>
        <v>18.453929448693849</v>
      </c>
      <c r="H32" s="328">
        <f>SUM($D32/52.143)/37*1.1381</f>
        <v>21.002417105558468</v>
      </c>
      <c r="I32" s="311"/>
    </row>
    <row r="33" spans="1:9" x14ac:dyDescent="0.35">
      <c r="A33" s="6"/>
      <c r="B33" s="342">
        <v>20</v>
      </c>
      <c r="C33" s="175">
        <v>33673</v>
      </c>
      <c r="D33" s="175">
        <f>ROUND((C33*1.075),0)</f>
        <v>36198</v>
      </c>
      <c r="E33" s="149">
        <f>D33/12</f>
        <v>3016.5</v>
      </c>
      <c r="F33" s="150">
        <f>SUM(D33/52.143)</f>
        <v>694.20631724296641</v>
      </c>
      <c r="G33" s="161">
        <f>SUM($D33/52.143)/37</f>
        <v>18.762332898458553</v>
      </c>
      <c r="H33" s="329">
        <f>SUM($D33/52.143)/37*1.1381</f>
        <v>21.353411071735678</v>
      </c>
      <c r="I33" s="311"/>
    </row>
    <row r="34" spans="1:9" x14ac:dyDescent="0.35">
      <c r="A34" s="6"/>
      <c r="B34" s="345">
        <v>21</v>
      </c>
      <c r="C34" s="223">
        <v>34237</v>
      </c>
      <c r="D34" s="223">
        <f>ROUND((C34*1.075),0)</f>
        <v>36805</v>
      </c>
      <c r="E34" s="151">
        <f>D34/12</f>
        <v>3067.0833333333335</v>
      </c>
      <c r="F34" s="152">
        <f>SUM(D34/52.143)</f>
        <v>705.84738124005139</v>
      </c>
      <c r="G34" s="163">
        <f>SUM($D34/52.143)/37</f>
        <v>19.076956249731118</v>
      </c>
      <c r="H34" s="322">
        <f>SUM($D34/52.143)/37*1.1381</f>
        <v>21.711483907818984</v>
      </c>
      <c r="I34" s="311"/>
    </row>
    <row r="35" spans="1:9" ht="15" thickBot="1" x14ac:dyDescent="0.4">
      <c r="A35" s="6"/>
      <c r="B35" s="344">
        <v>22</v>
      </c>
      <c r="C35" s="182">
        <v>34811</v>
      </c>
      <c r="D35" s="182">
        <f>ROUND((C35*1.075),0)</f>
        <v>37422</v>
      </c>
      <c r="E35" s="159">
        <f>D35/12</f>
        <v>3118.5</v>
      </c>
      <c r="F35" s="160">
        <f>SUM(D35/52.143)</f>
        <v>717.68022553362869</v>
      </c>
      <c r="G35" s="172">
        <f>SUM($D35/52.143)/37</f>
        <v>19.396762852260235</v>
      </c>
      <c r="H35" s="333">
        <f>SUM($D35/52.143)/37*1.1381</f>
        <v>22.075455802157371</v>
      </c>
      <c r="I35" s="311"/>
    </row>
    <row r="36" spans="1:9" ht="15" thickBot="1" x14ac:dyDescent="0.4">
      <c r="A36" s="6"/>
      <c r="B36" s="345"/>
      <c r="C36" s="64"/>
      <c r="D36" s="64"/>
      <c r="E36" s="65"/>
      <c r="F36" s="65"/>
      <c r="G36" s="65"/>
      <c r="H36" s="66"/>
      <c r="I36" s="311"/>
    </row>
    <row r="37" spans="1:9" x14ac:dyDescent="0.35">
      <c r="B37" s="360" t="s">
        <v>22</v>
      </c>
      <c r="C37" s="347"/>
      <c r="D37" s="348"/>
      <c r="E37" s="349" t="s">
        <v>49</v>
      </c>
      <c r="F37" s="350"/>
      <c r="G37" s="351" t="s">
        <v>21</v>
      </c>
      <c r="H37" s="416" t="s">
        <v>48</v>
      </c>
      <c r="I37" s="311"/>
    </row>
    <row r="38" spans="1:9" ht="15" thickBot="1" x14ac:dyDescent="0.4">
      <c r="A38" s="1"/>
      <c r="B38" s="394">
        <v>8</v>
      </c>
      <c r="C38" s="182">
        <f>C19</f>
        <v>27709</v>
      </c>
      <c r="D38" s="182">
        <v>753</v>
      </c>
      <c r="E38" s="159">
        <f>C38+D38</f>
        <v>28462</v>
      </c>
      <c r="F38" s="160"/>
      <c r="G38" s="172">
        <f>E38/52.143/37</f>
        <v>14.752569726391716</v>
      </c>
      <c r="H38" s="333">
        <f>E38/52.143/37*1.1381</f>
        <v>16.789899605606411</v>
      </c>
      <c r="I38" s="311"/>
    </row>
    <row r="39" spans="1:9" x14ac:dyDescent="0.35">
      <c r="A39" s="1"/>
      <c r="B39" s="70" t="s">
        <v>87</v>
      </c>
      <c r="C39" s="5"/>
      <c r="D39" s="5"/>
      <c r="E39" s="1"/>
      <c r="F39" s="1"/>
      <c r="G39" s="1"/>
      <c r="H39" s="1"/>
      <c r="I39" s="1"/>
    </row>
    <row r="40" spans="1:9" x14ac:dyDescent="0.35">
      <c r="A40" s="70" t="s">
        <v>47</v>
      </c>
      <c r="C40" s="71"/>
      <c r="D40" s="71"/>
      <c r="E40" s="72"/>
      <c r="F40" s="72"/>
      <c r="G40" s="73"/>
      <c r="H40" s="74"/>
      <c r="I40" s="74"/>
    </row>
    <row r="41" spans="1:9" x14ac:dyDescent="0.35">
      <c r="A41" s="76"/>
      <c r="B41" s="76"/>
      <c r="C41" s="71"/>
      <c r="D41" s="71"/>
      <c r="E41" s="74"/>
      <c r="F41" s="74"/>
      <c r="G41" s="73"/>
      <c r="H41" s="74"/>
      <c r="I41" s="74"/>
    </row>
    <row r="42" spans="1:9" x14ac:dyDescent="0.35">
      <c r="A42" s="77" t="s">
        <v>60</v>
      </c>
      <c r="C42" s="6"/>
      <c r="D42" s="6"/>
      <c r="E42" s="75"/>
      <c r="F42" s="75"/>
      <c r="G42" s="29"/>
      <c r="H42" s="75"/>
      <c r="I42" s="75"/>
    </row>
    <row r="43" spans="1:9" x14ac:dyDescent="0.35">
      <c r="A43" s="1"/>
      <c r="B43" s="1"/>
      <c r="C43" s="6"/>
      <c r="D43" s="75"/>
      <c r="E43" s="78"/>
      <c r="F43" s="78"/>
      <c r="G43" s="29"/>
      <c r="H43" s="29"/>
      <c r="I43" s="29"/>
    </row>
    <row r="44" spans="1:9" x14ac:dyDescent="0.35">
      <c r="A44" s="224" t="s">
        <v>24</v>
      </c>
      <c r="B44" s="235" t="s">
        <v>25</v>
      </c>
      <c r="C44" s="236"/>
      <c r="D44" s="237" t="s">
        <v>26</v>
      </c>
      <c r="G44" s="29"/>
      <c r="H44" s="29"/>
      <c r="I44" s="29"/>
    </row>
    <row r="45" spans="1:9" x14ac:dyDescent="0.35">
      <c r="A45" s="221"/>
      <c r="B45" s="238"/>
      <c r="C45" s="239"/>
      <c r="D45" s="240" t="s">
        <v>27</v>
      </c>
      <c r="G45" s="29"/>
      <c r="H45" s="29"/>
      <c r="I45" s="29"/>
    </row>
    <row r="46" spans="1:9" x14ac:dyDescent="0.35">
      <c r="A46" s="1"/>
      <c r="B46" s="6"/>
      <c r="C46" s="75"/>
      <c r="D46" s="87"/>
      <c r="G46" s="29"/>
      <c r="H46" s="29"/>
      <c r="I46" s="29"/>
    </row>
    <row r="47" spans="1:9" x14ac:dyDescent="0.35">
      <c r="A47" s="214" t="s">
        <v>28</v>
      </c>
      <c r="B47" s="89" t="s">
        <v>29</v>
      </c>
      <c r="C47" s="90">
        <v>10000</v>
      </c>
      <c r="D47" s="91">
        <v>55</v>
      </c>
      <c r="G47" s="29"/>
      <c r="H47" s="29"/>
      <c r="I47" s="29"/>
    </row>
    <row r="48" spans="1:9" x14ac:dyDescent="0.35">
      <c r="A48" s="1"/>
      <c r="B48" s="92" t="s">
        <v>30</v>
      </c>
      <c r="C48" s="90">
        <v>10000</v>
      </c>
      <c r="D48" s="93">
        <v>25</v>
      </c>
      <c r="G48" s="29"/>
      <c r="H48" s="29"/>
      <c r="I48" s="29"/>
    </row>
    <row r="49" spans="1:10" x14ac:dyDescent="0.35">
      <c r="A49" s="1"/>
      <c r="B49" s="1"/>
      <c r="C49" s="6"/>
      <c r="D49" s="1"/>
      <c r="E49" s="78"/>
      <c r="F49" s="78"/>
      <c r="G49" s="29"/>
      <c r="H49" s="29"/>
      <c r="I49" s="29"/>
    </row>
    <row r="50" spans="1:10" x14ac:dyDescent="0.35">
      <c r="A50" s="7"/>
      <c r="B50" s="7"/>
      <c r="C50" s="7"/>
      <c r="D50" s="7"/>
      <c r="E50" s="10"/>
      <c r="F50" s="10"/>
      <c r="G50" s="16"/>
      <c r="H50" s="241"/>
      <c r="I50" s="10"/>
    </row>
    <row r="51" spans="1:10" x14ac:dyDescent="0.35">
      <c r="A51" s="301" t="s">
        <v>31</v>
      </c>
      <c r="B51" s="116" t="s">
        <v>105</v>
      </c>
      <c r="C51" s="74"/>
      <c r="D51" s="74"/>
      <c r="E51" s="300"/>
      <c r="F51" s="300"/>
      <c r="G51" s="7" t="s">
        <v>32</v>
      </c>
    </row>
    <row r="52" spans="1:10" x14ac:dyDescent="0.35">
      <c r="A52" s="1"/>
      <c r="B52" s="101"/>
      <c r="C52" s="75"/>
      <c r="D52" s="75"/>
      <c r="E52" s="246"/>
      <c r="F52" s="246"/>
      <c r="G52" s="245"/>
      <c r="H52" s="75"/>
      <c r="I52" s="247"/>
    </row>
    <row r="53" spans="1:10" x14ac:dyDescent="0.35">
      <c r="A53" s="202" t="s">
        <v>33</v>
      </c>
      <c r="B53" s="203" t="s">
        <v>8</v>
      </c>
      <c r="C53" s="203" t="s">
        <v>4</v>
      </c>
      <c r="D53" s="203" t="s">
        <v>5</v>
      </c>
      <c r="E53" s="204" t="s">
        <v>6</v>
      </c>
      <c r="F53" s="205" t="s">
        <v>7</v>
      </c>
      <c r="G53" s="12"/>
    </row>
    <row r="54" spans="1:10" x14ac:dyDescent="0.35">
      <c r="A54" s="211"/>
      <c r="B54" s="212" t="s">
        <v>11</v>
      </c>
      <c r="C54" s="212" t="s">
        <v>9</v>
      </c>
      <c r="D54" s="302" t="s">
        <v>9</v>
      </c>
      <c r="E54" s="303" t="s">
        <v>9</v>
      </c>
      <c r="F54" s="304" t="s">
        <v>10</v>
      </c>
      <c r="G54" s="13" t="s">
        <v>34</v>
      </c>
      <c r="I54" s="397"/>
    </row>
    <row r="55" spans="1:10" x14ac:dyDescent="0.35">
      <c r="A55" s="1"/>
      <c r="B55" s="6"/>
      <c r="C55" s="14" t="s">
        <v>14</v>
      </c>
      <c r="D55" s="14" t="s">
        <v>14</v>
      </c>
      <c r="E55" s="14" t="s">
        <v>14</v>
      </c>
      <c r="F55" s="305" t="s">
        <v>14</v>
      </c>
      <c r="G55" s="306" t="s">
        <v>14</v>
      </c>
      <c r="I55" s="397"/>
    </row>
    <row r="56" spans="1:10" x14ac:dyDescent="0.35">
      <c r="A56" s="249">
        <v>8</v>
      </c>
      <c r="B56" s="109">
        <v>1</v>
      </c>
      <c r="C56" s="175">
        <v>39580</v>
      </c>
      <c r="D56" s="148">
        <f>C56/12</f>
        <v>3298.3333333333335</v>
      </c>
      <c r="E56" s="149">
        <f>SUM(C56/52.143)</f>
        <v>759.06641351667531</v>
      </c>
      <c r="F56" s="174">
        <f>SUM(C56/52.143)/37</f>
        <v>20.515308473423659</v>
      </c>
      <c r="G56" s="234">
        <f>SUM(C56*1.1381)</f>
        <v>45045.997999999992</v>
      </c>
      <c r="H56" s="407"/>
      <c r="I56" s="397"/>
      <c r="J56" s="397"/>
    </row>
    <row r="57" spans="1:10" x14ac:dyDescent="0.35">
      <c r="A57" s="110"/>
      <c r="B57" s="111">
        <v>2</v>
      </c>
      <c r="C57" s="175">
        <v>40500</v>
      </c>
      <c r="D57" s="148">
        <f t="shared" ref="D57:D64" si="7">C57/12</f>
        <v>3375</v>
      </c>
      <c r="E57" s="149">
        <f t="shared" ref="E57:E65" si="8">SUM(C57/52.143)</f>
        <v>776.71020079397044</v>
      </c>
      <c r="F57" s="174">
        <f t="shared" ref="F57:F65" si="9">SUM(C57/52.143)/37</f>
        <v>20.992167589026227</v>
      </c>
      <c r="G57" s="234">
        <f t="shared" ref="G57:G65" si="10">SUM(C57*1.1381)</f>
        <v>46093.049999999996</v>
      </c>
      <c r="H57" s="407"/>
      <c r="I57" s="397"/>
      <c r="J57" s="397"/>
    </row>
    <row r="58" spans="1:10" x14ac:dyDescent="0.35">
      <c r="A58" s="110"/>
      <c r="B58" s="111">
        <v>3</v>
      </c>
      <c r="C58" s="175">
        <v>41411</v>
      </c>
      <c r="D58" s="148">
        <f t="shared" si="7"/>
        <v>3450.9166666666665</v>
      </c>
      <c r="E58" s="149">
        <f t="shared" si="8"/>
        <v>794.18138580442246</v>
      </c>
      <c r="F58" s="174">
        <f t="shared" si="9"/>
        <v>21.464361778497903</v>
      </c>
      <c r="G58" s="234">
        <f t="shared" si="10"/>
        <v>47129.859099999994</v>
      </c>
      <c r="H58" s="407"/>
      <c r="I58" s="397"/>
      <c r="J58" s="397"/>
    </row>
    <row r="59" spans="1:10" x14ac:dyDescent="0.35">
      <c r="A59" s="110"/>
      <c r="B59" s="111">
        <v>4</v>
      </c>
      <c r="C59" s="175">
        <v>42475</v>
      </c>
      <c r="D59" s="148">
        <f t="shared" si="7"/>
        <v>3539.5833333333335</v>
      </c>
      <c r="E59" s="149">
        <f t="shared" si="8"/>
        <v>814.58680935120719</v>
      </c>
      <c r="F59" s="174">
        <f t="shared" si="9"/>
        <v>22.015859712194789</v>
      </c>
      <c r="G59" s="234">
        <f t="shared" si="10"/>
        <v>48340.797499999993</v>
      </c>
      <c r="H59" s="407"/>
      <c r="I59" s="397"/>
      <c r="J59" s="397"/>
    </row>
    <row r="60" spans="1:10" x14ac:dyDescent="0.35">
      <c r="A60" s="110"/>
      <c r="B60" s="111">
        <v>5</v>
      </c>
      <c r="C60" s="175">
        <v>43543</v>
      </c>
      <c r="D60" s="148">
        <f t="shared" si="7"/>
        <v>3628.5833333333335</v>
      </c>
      <c r="E60" s="149">
        <f t="shared" si="8"/>
        <v>835.06894501658894</v>
      </c>
      <c r="F60" s="174">
        <f t="shared" si="9"/>
        <v>22.569430946394295</v>
      </c>
      <c r="G60" s="234">
        <f t="shared" si="10"/>
        <v>49556.288299999993</v>
      </c>
      <c r="H60" s="407"/>
      <c r="I60" s="397"/>
      <c r="J60" s="397"/>
    </row>
    <row r="61" spans="1:10" x14ac:dyDescent="0.35">
      <c r="A61" s="249">
        <v>7</v>
      </c>
      <c r="B61" s="109">
        <v>1</v>
      </c>
      <c r="C61" s="175">
        <v>44302</v>
      </c>
      <c r="D61" s="148">
        <f t="shared" si="7"/>
        <v>3691.8333333333335</v>
      </c>
      <c r="E61" s="149">
        <f t="shared" si="8"/>
        <v>849.62506952035744</v>
      </c>
      <c r="F61" s="174">
        <f t="shared" si="9"/>
        <v>22.962839716766418</v>
      </c>
      <c r="G61" s="234">
        <f t="shared" si="10"/>
        <v>50420.106199999995</v>
      </c>
      <c r="H61" s="407"/>
      <c r="I61" s="397"/>
      <c r="J61" s="397"/>
    </row>
    <row r="62" spans="1:10" x14ac:dyDescent="0.35">
      <c r="A62" s="110"/>
      <c r="B62" s="111">
        <v>2</v>
      </c>
      <c r="C62" s="175">
        <v>45369</v>
      </c>
      <c r="D62" s="148">
        <f t="shared" si="7"/>
        <v>3780.75</v>
      </c>
      <c r="E62" s="149">
        <f t="shared" si="8"/>
        <v>870.08802715608999</v>
      </c>
      <c r="F62" s="174">
        <f t="shared" si="9"/>
        <v>23.515892625840269</v>
      </c>
      <c r="G62" s="234">
        <f t="shared" si="10"/>
        <v>51634.458899999998</v>
      </c>
      <c r="H62" s="407"/>
      <c r="I62" s="397"/>
      <c r="J62" s="397"/>
    </row>
    <row r="63" spans="1:10" x14ac:dyDescent="0.35">
      <c r="A63" s="110"/>
      <c r="B63" s="111">
        <v>3</v>
      </c>
      <c r="C63" s="175">
        <v>46435</v>
      </c>
      <c r="D63" s="148">
        <f t="shared" si="7"/>
        <v>3869.5833333333335</v>
      </c>
      <c r="E63" s="149">
        <f t="shared" si="8"/>
        <v>890.53180676217323</v>
      </c>
      <c r="F63" s="174">
        <f t="shared" si="9"/>
        <v>24.068427209788467</v>
      </c>
      <c r="G63" s="234">
        <f t="shared" si="10"/>
        <v>52847.673499999997</v>
      </c>
      <c r="H63" s="407"/>
      <c r="I63" s="397"/>
      <c r="J63" s="397"/>
    </row>
    <row r="64" spans="1:10" x14ac:dyDescent="0.35">
      <c r="A64" s="110"/>
      <c r="B64" s="111">
        <v>4</v>
      </c>
      <c r="C64" s="175">
        <v>47500</v>
      </c>
      <c r="D64" s="148">
        <f t="shared" si="7"/>
        <v>3958.3333333333335</v>
      </c>
      <c r="E64" s="149">
        <f t="shared" si="8"/>
        <v>910.95640833860728</v>
      </c>
      <c r="F64" s="174">
        <f t="shared" si="9"/>
        <v>24.620443468611008</v>
      </c>
      <c r="G64" s="234">
        <f t="shared" si="10"/>
        <v>54059.749999999993</v>
      </c>
      <c r="H64" s="407"/>
      <c r="I64" s="397"/>
      <c r="J64" s="397"/>
    </row>
    <row r="65" spans="1:10" x14ac:dyDescent="0.35">
      <c r="A65" s="110"/>
      <c r="B65" s="111">
        <v>5</v>
      </c>
      <c r="C65" s="175">
        <v>48529</v>
      </c>
      <c r="D65" s="148">
        <f>C65/12</f>
        <v>4044.0833333333335</v>
      </c>
      <c r="E65" s="149">
        <f t="shared" si="8"/>
        <v>930.69060084766886</v>
      </c>
      <c r="F65" s="174">
        <f t="shared" si="9"/>
        <v>25.153800022909969</v>
      </c>
      <c r="G65" s="234">
        <f t="shared" si="10"/>
        <v>55230.854899999991</v>
      </c>
      <c r="H65" s="407"/>
      <c r="I65" s="397"/>
      <c r="J65" s="397"/>
    </row>
    <row r="66" spans="1:10" x14ac:dyDescent="0.35">
      <c r="A66" s="1"/>
      <c r="B66" s="6"/>
      <c r="C66" s="112"/>
      <c r="D66" s="58"/>
      <c r="E66" s="58"/>
      <c r="F66" s="65"/>
      <c r="G66" s="66"/>
      <c r="H66" s="248"/>
      <c r="I66" s="7"/>
    </row>
    <row r="67" spans="1:10" x14ac:dyDescent="0.35">
      <c r="A67" s="253"/>
      <c r="B67" s="253"/>
      <c r="C67" s="6"/>
      <c r="D67" s="67"/>
      <c r="E67" s="254"/>
      <c r="F67" s="254"/>
      <c r="G67" s="255"/>
      <c r="H67" s="66"/>
      <c r="I67" s="248"/>
    </row>
    <row r="68" spans="1:10" x14ac:dyDescent="0.35">
      <c r="A68" s="7"/>
      <c r="B68" s="7"/>
      <c r="C68" s="116"/>
      <c r="D68" s="117"/>
      <c r="E68" s="16"/>
      <c r="F68" s="16"/>
      <c r="G68" s="256"/>
      <c r="H68" s="257"/>
      <c r="I68" s="242"/>
    </row>
    <row r="69" spans="1:10" x14ac:dyDescent="0.35">
      <c r="D69" s="26"/>
    </row>
    <row r="70" spans="1:10" x14ac:dyDescent="0.35">
      <c r="D70" s="26"/>
    </row>
    <row r="71" spans="1:10" x14ac:dyDescent="0.35">
      <c r="A71" s="125" t="s">
        <v>35</v>
      </c>
      <c r="B71" s="116" t="s">
        <v>105</v>
      </c>
      <c r="C71" s="126"/>
      <c r="D71" s="127"/>
    </row>
    <row r="72" spans="1:10" x14ac:dyDescent="0.35">
      <c r="A72" s="125"/>
      <c r="B72" s="125"/>
      <c r="C72" s="126"/>
      <c r="D72" s="127"/>
      <c r="E72" s="421"/>
      <c r="F72" s="421"/>
      <c r="G72" s="421"/>
    </row>
    <row r="73" spans="1:10" x14ac:dyDescent="0.35">
      <c r="A73" s="129" t="s">
        <v>36</v>
      </c>
      <c r="B73" s="7"/>
      <c r="D73" s="127"/>
      <c r="E73" s="421"/>
      <c r="F73" s="421"/>
      <c r="G73" s="421"/>
    </row>
    <row r="74" spans="1:10" ht="26.5" x14ac:dyDescent="0.35">
      <c r="A74" s="7"/>
      <c r="B74" s="7"/>
      <c r="C74" s="117"/>
      <c r="D74" s="288" t="s">
        <v>37</v>
      </c>
      <c r="E74" s="288" t="s">
        <v>37</v>
      </c>
      <c r="F74" s="401"/>
    </row>
    <row r="75" spans="1:10" x14ac:dyDescent="0.35">
      <c r="A75" s="260" t="s">
        <v>33</v>
      </c>
      <c r="B75" s="260" t="s">
        <v>38</v>
      </c>
      <c r="C75" s="261" t="s">
        <v>39</v>
      </c>
      <c r="D75" s="286" t="s">
        <v>38</v>
      </c>
      <c r="E75" s="415" t="s">
        <v>39</v>
      </c>
      <c r="F75" s="402"/>
    </row>
    <row r="76" spans="1:10" x14ac:dyDescent="0.35">
      <c r="A76" s="136"/>
      <c r="B76" s="137"/>
      <c r="C76" s="138"/>
      <c r="D76" s="403"/>
      <c r="E76" s="406"/>
      <c r="F76" s="404"/>
      <c r="G76" s="404"/>
    </row>
    <row r="77" spans="1:10" x14ac:dyDescent="0.35">
      <c r="A77" s="265" t="s">
        <v>40</v>
      </c>
      <c r="B77" s="266">
        <v>91636</v>
      </c>
      <c r="C77" s="266">
        <v>121451</v>
      </c>
      <c r="D77" s="263">
        <f>SUM(B77/52.143/37)</f>
        <v>47.497241214518702</v>
      </c>
      <c r="E77" s="263">
        <f>SUM(C77/52.143/37)</f>
        <v>62.951104835921591</v>
      </c>
      <c r="F77" s="405"/>
      <c r="G77" s="408"/>
      <c r="H77" s="408"/>
      <c r="I77" s="420"/>
      <c r="J77" s="381"/>
    </row>
    <row r="78" spans="1:10" x14ac:dyDescent="0.35">
      <c r="A78" s="136"/>
      <c r="B78" s="266"/>
      <c r="C78" s="266"/>
      <c r="D78" s="263"/>
      <c r="E78" s="263"/>
      <c r="F78" s="405"/>
      <c r="G78" s="408"/>
      <c r="H78" s="408"/>
      <c r="I78" s="420"/>
    </row>
    <row r="79" spans="1:10" x14ac:dyDescent="0.35">
      <c r="A79" s="260" t="s">
        <v>41</v>
      </c>
      <c r="B79" s="266">
        <v>84186</v>
      </c>
      <c r="C79" s="266">
        <v>97598</v>
      </c>
      <c r="D79" s="263">
        <f>SUM(B79/52.143/37)</f>
        <v>43.63571902838919</v>
      </c>
      <c r="E79" s="263">
        <f>SUM(C79/52.143/37)</f>
        <v>50.587495613673624</v>
      </c>
      <c r="F79" s="405"/>
      <c r="G79" s="408"/>
      <c r="H79" s="408"/>
      <c r="I79" s="420"/>
    </row>
    <row r="80" spans="1:10" x14ac:dyDescent="0.35">
      <c r="A80" s="21"/>
      <c r="B80" s="266"/>
      <c r="C80" s="266"/>
      <c r="D80" s="263"/>
      <c r="E80" s="263"/>
      <c r="F80" s="405"/>
      <c r="G80" s="408"/>
      <c r="H80" s="408"/>
      <c r="I80" s="420"/>
    </row>
    <row r="81" spans="1:9" x14ac:dyDescent="0.35">
      <c r="A81" s="260" t="s">
        <v>42</v>
      </c>
      <c r="B81" s="266">
        <v>75348</v>
      </c>
      <c r="C81" s="266">
        <v>82283</v>
      </c>
      <c r="D81" s="263">
        <f>SUM(B81/52.143/37)</f>
        <v>39.054761567850569</v>
      </c>
      <c r="E81" s="263">
        <f>SUM(C81/52.143/37)</f>
        <v>42.649346314267781</v>
      </c>
      <c r="F81" s="405"/>
      <c r="G81" s="408"/>
      <c r="H81" s="408"/>
      <c r="I81" s="420"/>
    </row>
    <row r="82" spans="1:9" x14ac:dyDescent="0.35">
      <c r="A82" s="23"/>
      <c r="B82" s="266"/>
      <c r="C82" s="266"/>
      <c r="D82" s="263"/>
      <c r="E82" s="263"/>
      <c r="F82" s="405"/>
      <c r="G82" s="408"/>
      <c r="H82" s="408"/>
      <c r="I82" s="420"/>
    </row>
    <row r="83" spans="1:9" x14ac:dyDescent="0.35">
      <c r="A83" s="260" t="s">
        <v>43</v>
      </c>
      <c r="B83" s="266">
        <v>67580</v>
      </c>
      <c r="C83" s="266">
        <v>73590</v>
      </c>
      <c r="D83" s="263">
        <f>SUM(B83/52.143/37)</f>
        <v>35.028411991762773</v>
      </c>
      <c r="E83" s="263">
        <f>SUM(C83/52.143/37)</f>
        <v>38.143545996949136</v>
      </c>
      <c r="F83" s="405"/>
      <c r="G83" s="408"/>
      <c r="H83" s="408"/>
      <c r="I83" s="420"/>
    </row>
    <row r="84" spans="1:9" x14ac:dyDescent="0.35">
      <c r="A84" s="23"/>
      <c r="B84" s="266"/>
      <c r="C84" s="266"/>
      <c r="D84" s="263"/>
      <c r="E84" s="263"/>
      <c r="F84" s="405"/>
      <c r="G84" s="408"/>
      <c r="H84" s="408"/>
      <c r="I84" s="420"/>
    </row>
    <row r="85" spans="1:9" x14ac:dyDescent="0.35">
      <c r="A85" s="260" t="s">
        <v>44</v>
      </c>
      <c r="B85" s="266">
        <v>60313</v>
      </c>
      <c r="C85" s="266">
        <v>65754</v>
      </c>
      <c r="D85" s="263">
        <f>SUM(B85/52.143/37)</f>
        <v>31.261743303628119</v>
      </c>
      <c r="E85" s="263">
        <f>SUM(C85/52.143/37)</f>
        <v>34.081950312316806</v>
      </c>
      <c r="F85" s="405"/>
      <c r="G85" s="408"/>
      <c r="H85" s="408"/>
      <c r="I85" s="420"/>
    </row>
    <row r="86" spans="1:9" x14ac:dyDescent="0.35">
      <c r="A86" s="23"/>
      <c r="B86" s="266"/>
      <c r="C86" s="266"/>
      <c r="D86" s="263"/>
      <c r="E86" s="263"/>
      <c r="F86" s="405"/>
      <c r="G86" s="408"/>
      <c r="H86" s="408"/>
      <c r="I86" s="420"/>
    </row>
    <row r="87" spans="1:9" x14ac:dyDescent="0.35">
      <c r="A87" s="260" t="s">
        <v>45</v>
      </c>
      <c r="B87" s="266">
        <v>55263</v>
      </c>
      <c r="C87" s="266">
        <v>60120</v>
      </c>
      <c r="D87" s="263">
        <f>SUM(B87/52.143/37)</f>
        <v>28.644201419070527</v>
      </c>
      <c r="E87" s="263">
        <f>SUM(C87/52.143/37)</f>
        <v>31.16170655437671</v>
      </c>
      <c r="F87" s="405"/>
      <c r="G87" s="408"/>
      <c r="H87" s="408"/>
      <c r="I87" s="420"/>
    </row>
    <row r="88" spans="1:9" x14ac:dyDescent="0.35">
      <c r="A88" s="23"/>
      <c r="B88" s="266"/>
      <c r="C88" s="266"/>
      <c r="D88" s="263"/>
      <c r="E88" s="263"/>
      <c r="F88" s="405"/>
      <c r="G88" s="408"/>
      <c r="H88" s="408"/>
      <c r="I88" s="420"/>
    </row>
    <row r="89" spans="1:9" x14ac:dyDescent="0.35">
      <c r="A89" s="262" t="s">
        <v>46</v>
      </c>
      <c r="B89" s="272">
        <v>50911</v>
      </c>
      <c r="C89" s="273">
        <v>55102</v>
      </c>
      <c r="D89" s="263">
        <f>SUM(B89/52.143/37)</f>
        <v>26.388450472220107</v>
      </c>
      <c r="E89" s="263">
        <f>SUM(C89/52.143/37)</f>
        <v>28.56075107384008</v>
      </c>
      <c r="F89" s="405"/>
      <c r="G89" s="408"/>
      <c r="H89" s="408"/>
      <c r="I89" s="420"/>
    </row>
    <row r="90" spans="1:9" x14ac:dyDescent="0.35">
      <c r="A90" s="7"/>
      <c r="B90" s="7"/>
      <c r="C90" s="10"/>
      <c r="D90" s="16"/>
      <c r="E90" s="16"/>
      <c r="F90" s="241"/>
    </row>
    <row r="91" spans="1:9" x14ac:dyDescent="0.35">
      <c r="D91" s="26"/>
    </row>
    <row r="92" spans="1:9" x14ac:dyDescent="0.35">
      <c r="D92" s="26"/>
    </row>
    <row r="93" spans="1:9" x14ac:dyDescent="0.35">
      <c r="D93" s="26"/>
    </row>
    <row r="94" spans="1:9" x14ac:dyDescent="0.35">
      <c r="D94" s="26"/>
    </row>
    <row r="95" spans="1:9" x14ac:dyDescent="0.35">
      <c r="D95" s="26"/>
    </row>
    <row r="96" spans="1:9" x14ac:dyDescent="0.35">
      <c r="D96" s="26"/>
    </row>
    <row r="97" spans="4:4" x14ac:dyDescent="0.35">
      <c r="D97" s="26"/>
    </row>
    <row r="98" spans="4:4" x14ac:dyDescent="0.35">
      <c r="D98" s="26"/>
    </row>
    <row r="99" spans="4:4" x14ac:dyDescent="0.35">
      <c r="D99" s="26"/>
    </row>
    <row r="100" spans="4:4" x14ac:dyDescent="0.35">
      <c r="D100" s="26"/>
    </row>
    <row r="101" spans="4:4" x14ac:dyDescent="0.35">
      <c r="D101" s="26"/>
    </row>
    <row r="102" spans="4:4" x14ac:dyDescent="0.35">
      <c r="D102" s="26"/>
    </row>
    <row r="103" spans="4:4" x14ac:dyDescent="0.35">
      <c r="D103" s="26"/>
    </row>
    <row r="104" spans="4:4" x14ac:dyDescent="0.35">
      <c r="D104" s="26"/>
    </row>
    <row r="105" spans="4:4" x14ac:dyDescent="0.35">
      <c r="D105" s="26"/>
    </row>
    <row r="106" spans="4:4" x14ac:dyDescent="0.35">
      <c r="D106" s="26"/>
    </row>
    <row r="107" spans="4:4" x14ac:dyDescent="0.35">
      <c r="D107" s="26"/>
    </row>
    <row r="108" spans="4:4" x14ac:dyDescent="0.35">
      <c r="D108" s="26"/>
    </row>
    <row r="109" spans="4:4" x14ac:dyDescent="0.35">
      <c r="D109" s="26"/>
    </row>
    <row r="110" spans="4:4" x14ac:dyDescent="0.35">
      <c r="D110" s="26"/>
    </row>
    <row r="111" spans="4:4" x14ac:dyDescent="0.35">
      <c r="D111" s="26"/>
    </row>
    <row r="112" spans="4:4" x14ac:dyDescent="0.35">
      <c r="D112" s="26"/>
    </row>
    <row r="113" spans="4:4" x14ac:dyDescent="0.35">
      <c r="D113" s="26"/>
    </row>
    <row r="114" spans="4:4" x14ac:dyDescent="0.35">
      <c r="D114" s="26"/>
    </row>
    <row r="115" spans="4:4" x14ac:dyDescent="0.35">
      <c r="D115" s="26"/>
    </row>
    <row r="116" spans="4:4" x14ac:dyDescent="0.35">
      <c r="D116" s="26"/>
    </row>
    <row r="117" spans="4:4" x14ac:dyDescent="0.35">
      <c r="D117" s="26"/>
    </row>
    <row r="118" spans="4:4" x14ac:dyDescent="0.35">
      <c r="D118" s="26"/>
    </row>
    <row r="119" spans="4:4" x14ac:dyDescent="0.35">
      <c r="D119" s="26"/>
    </row>
    <row r="120" spans="4:4" x14ac:dyDescent="0.35">
      <c r="D120" s="26"/>
    </row>
    <row r="121" spans="4:4" x14ac:dyDescent="0.35">
      <c r="D121" s="26"/>
    </row>
    <row r="122" spans="4:4" x14ac:dyDescent="0.35">
      <c r="D122" s="26"/>
    </row>
    <row r="123" spans="4:4" x14ac:dyDescent="0.35">
      <c r="D123" s="26"/>
    </row>
    <row r="124" spans="4:4" x14ac:dyDescent="0.35">
      <c r="D124" s="26"/>
    </row>
    <row r="125" spans="4:4" x14ac:dyDescent="0.35">
      <c r="D125" s="26"/>
    </row>
    <row r="126" spans="4:4" x14ac:dyDescent="0.35">
      <c r="D126" s="26"/>
    </row>
    <row r="127" spans="4:4" x14ac:dyDescent="0.35">
      <c r="D127" s="26"/>
    </row>
    <row r="128" spans="4:4" x14ac:dyDescent="0.35">
      <c r="D128" s="26"/>
    </row>
    <row r="129" spans="4:4" x14ac:dyDescent="0.35">
      <c r="D129" s="26"/>
    </row>
    <row r="130" spans="4:4" x14ac:dyDescent="0.35">
      <c r="D130" s="26"/>
    </row>
    <row r="131" spans="4:4" x14ac:dyDescent="0.35">
      <c r="D131" s="26"/>
    </row>
    <row r="132" spans="4:4" x14ac:dyDescent="0.35">
      <c r="D132" s="26"/>
    </row>
    <row r="133" spans="4:4" x14ac:dyDescent="0.35">
      <c r="D133" s="26"/>
    </row>
    <row r="134" spans="4:4" x14ac:dyDescent="0.35">
      <c r="D134" s="26"/>
    </row>
    <row r="135" spans="4:4" x14ac:dyDescent="0.35">
      <c r="D135" s="26"/>
    </row>
    <row r="136" spans="4:4" x14ac:dyDescent="0.35">
      <c r="D136" s="26"/>
    </row>
    <row r="137" spans="4:4" x14ac:dyDescent="0.35">
      <c r="D137" s="26"/>
    </row>
    <row r="138" spans="4:4" x14ac:dyDescent="0.35">
      <c r="D138" s="26"/>
    </row>
    <row r="139" spans="4:4" x14ac:dyDescent="0.35">
      <c r="D139" s="26"/>
    </row>
    <row r="140" spans="4:4" x14ac:dyDescent="0.35">
      <c r="D140" s="26"/>
    </row>
    <row r="141" spans="4:4" x14ac:dyDescent="0.35">
      <c r="D141" s="26"/>
    </row>
    <row r="142" spans="4:4" x14ac:dyDescent="0.35">
      <c r="D142" s="26"/>
    </row>
    <row r="143" spans="4:4" x14ac:dyDescent="0.35">
      <c r="D143" s="26"/>
    </row>
    <row r="144" spans="4:4" x14ac:dyDescent="0.35">
      <c r="D144" s="26"/>
    </row>
    <row r="145" spans="4:4" x14ac:dyDescent="0.35">
      <c r="D145" s="26"/>
    </row>
    <row r="146" spans="4:4" x14ac:dyDescent="0.35">
      <c r="D146" s="26"/>
    </row>
    <row r="147" spans="4:4" x14ac:dyDescent="0.35">
      <c r="D147" s="26"/>
    </row>
    <row r="148" spans="4:4" x14ac:dyDescent="0.35">
      <c r="D148" s="26"/>
    </row>
    <row r="149" spans="4:4" x14ac:dyDescent="0.35">
      <c r="D149" s="26"/>
    </row>
    <row r="150" spans="4:4" x14ac:dyDescent="0.35">
      <c r="D150" s="26"/>
    </row>
    <row r="151" spans="4:4" x14ac:dyDescent="0.35">
      <c r="D151" s="26"/>
    </row>
    <row r="152" spans="4:4" x14ac:dyDescent="0.35">
      <c r="D152" s="26"/>
    </row>
    <row r="153" spans="4:4" x14ac:dyDescent="0.35">
      <c r="D153" s="26"/>
    </row>
    <row r="154" spans="4:4" x14ac:dyDescent="0.35">
      <c r="D154" s="26"/>
    </row>
    <row r="155" spans="4:4" x14ac:dyDescent="0.35">
      <c r="D155" s="26"/>
    </row>
    <row r="156" spans="4:4" x14ac:dyDescent="0.35">
      <c r="D156" s="26"/>
    </row>
    <row r="157" spans="4:4" x14ac:dyDescent="0.35">
      <c r="D157" s="26"/>
    </row>
    <row r="158" spans="4:4" x14ac:dyDescent="0.35">
      <c r="D158" s="26"/>
    </row>
    <row r="159" spans="4:4" x14ac:dyDescent="0.35">
      <c r="D159" s="26"/>
    </row>
    <row r="160" spans="4:4" x14ac:dyDescent="0.35">
      <c r="D160" s="26"/>
    </row>
    <row r="161" spans="4:4" x14ac:dyDescent="0.35">
      <c r="D161" s="26"/>
    </row>
    <row r="162" spans="4:4" x14ac:dyDescent="0.35">
      <c r="D162" s="26"/>
    </row>
    <row r="163" spans="4:4" x14ac:dyDescent="0.35">
      <c r="D163" s="26"/>
    </row>
    <row r="164" spans="4:4" x14ac:dyDescent="0.35">
      <c r="D164" s="26"/>
    </row>
    <row r="165" spans="4:4" x14ac:dyDescent="0.35">
      <c r="D165" s="26"/>
    </row>
    <row r="166" spans="4:4" x14ac:dyDescent="0.35">
      <c r="D166" s="26"/>
    </row>
    <row r="167" spans="4:4" x14ac:dyDescent="0.35">
      <c r="D167" s="26"/>
    </row>
    <row r="168" spans="4:4" x14ac:dyDescent="0.35">
      <c r="D168" s="26"/>
    </row>
    <row r="169" spans="4:4" x14ac:dyDescent="0.35">
      <c r="D169" s="26"/>
    </row>
    <row r="170" spans="4:4" x14ac:dyDescent="0.35">
      <c r="D170" s="26"/>
    </row>
    <row r="171" spans="4:4" x14ac:dyDescent="0.35">
      <c r="D171" s="26"/>
    </row>
    <row r="172" spans="4:4" x14ac:dyDescent="0.35">
      <c r="D172" s="26"/>
    </row>
    <row r="173" spans="4:4" x14ac:dyDescent="0.35">
      <c r="D173" s="26"/>
    </row>
    <row r="174" spans="4:4" x14ac:dyDescent="0.35">
      <c r="D174" s="26"/>
    </row>
    <row r="175" spans="4:4" x14ac:dyDescent="0.35">
      <c r="D175" s="26"/>
    </row>
    <row r="176" spans="4:4" x14ac:dyDescent="0.35">
      <c r="D176" s="26"/>
    </row>
    <row r="177" spans="4:4" x14ac:dyDescent="0.35">
      <c r="D177" s="26"/>
    </row>
    <row r="178" spans="4:4" x14ac:dyDescent="0.35">
      <c r="D178" s="26"/>
    </row>
    <row r="179" spans="4:4" x14ac:dyDescent="0.35">
      <c r="D179" s="26"/>
    </row>
    <row r="180" spans="4:4" x14ac:dyDescent="0.35">
      <c r="D180" s="26"/>
    </row>
    <row r="181" spans="4:4" x14ac:dyDescent="0.35">
      <c r="D181" s="26"/>
    </row>
    <row r="182" spans="4:4" x14ac:dyDescent="0.35">
      <c r="D182" s="26"/>
    </row>
    <row r="183" spans="4:4" x14ac:dyDescent="0.35">
      <c r="D183" s="26"/>
    </row>
    <row r="184" spans="4:4" x14ac:dyDescent="0.35">
      <c r="D184" s="26"/>
    </row>
    <row r="185" spans="4:4" x14ac:dyDescent="0.35">
      <c r="D185" s="26"/>
    </row>
    <row r="186" spans="4:4" x14ac:dyDescent="0.35">
      <c r="D186" s="26"/>
    </row>
    <row r="187" spans="4:4" x14ac:dyDescent="0.35">
      <c r="D187" s="26"/>
    </row>
    <row r="188" spans="4:4" x14ac:dyDescent="0.35">
      <c r="D188" s="26"/>
    </row>
    <row r="189" spans="4:4" x14ac:dyDescent="0.35">
      <c r="D189" s="26"/>
    </row>
    <row r="190" spans="4:4" x14ac:dyDescent="0.35">
      <c r="D190" s="26"/>
    </row>
    <row r="191" spans="4:4" x14ac:dyDescent="0.35">
      <c r="D191" s="26"/>
    </row>
    <row r="192" spans="4:4" x14ac:dyDescent="0.35">
      <c r="D192" s="26"/>
    </row>
    <row r="193" spans="4:4" x14ac:dyDescent="0.35">
      <c r="D193" s="26"/>
    </row>
    <row r="194" spans="4:4" x14ac:dyDescent="0.35">
      <c r="D194" s="26"/>
    </row>
    <row r="195" spans="4:4" x14ac:dyDescent="0.35">
      <c r="D195" s="26"/>
    </row>
    <row r="196" spans="4:4" x14ac:dyDescent="0.35">
      <c r="D196" s="26"/>
    </row>
    <row r="197" spans="4:4" x14ac:dyDescent="0.35">
      <c r="D197" s="26"/>
    </row>
    <row r="198" spans="4:4" x14ac:dyDescent="0.35">
      <c r="D198" s="26"/>
    </row>
    <row r="199" spans="4:4" x14ac:dyDescent="0.35">
      <c r="D199" s="26"/>
    </row>
    <row r="200" spans="4:4" x14ac:dyDescent="0.35">
      <c r="D200" s="26"/>
    </row>
    <row r="201" spans="4:4" x14ac:dyDescent="0.35">
      <c r="D201" s="26"/>
    </row>
    <row r="202" spans="4:4" x14ac:dyDescent="0.35">
      <c r="D202" s="26"/>
    </row>
    <row r="203" spans="4:4" x14ac:dyDescent="0.35">
      <c r="D203" s="26"/>
    </row>
    <row r="204" spans="4:4" x14ac:dyDescent="0.35">
      <c r="D204" s="26"/>
    </row>
    <row r="205" spans="4:4" x14ac:dyDescent="0.35">
      <c r="D205" s="26"/>
    </row>
    <row r="206" spans="4:4" x14ac:dyDescent="0.35">
      <c r="D206" s="26"/>
    </row>
    <row r="207" spans="4:4" x14ac:dyDescent="0.35">
      <c r="D207" s="26"/>
    </row>
    <row r="208" spans="4:4" x14ac:dyDescent="0.35">
      <c r="D208" s="26"/>
    </row>
    <row r="209" spans="4:4" x14ac:dyDescent="0.35">
      <c r="D209" s="26"/>
    </row>
    <row r="210" spans="4:4" x14ac:dyDescent="0.35">
      <c r="D210" s="26"/>
    </row>
    <row r="211" spans="4:4" x14ac:dyDescent="0.35">
      <c r="D211" s="26"/>
    </row>
    <row r="212" spans="4:4" x14ac:dyDescent="0.35">
      <c r="D212" s="26"/>
    </row>
    <row r="213" spans="4:4" x14ac:dyDescent="0.35">
      <c r="D213" s="26"/>
    </row>
    <row r="214" spans="4:4" x14ac:dyDescent="0.35">
      <c r="D214" s="26"/>
    </row>
    <row r="215" spans="4:4" x14ac:dyDescent="0.35">
      <c r="D215" s="26"/>
    </row>
    <row r="216" spans="4:4" x14ac:dyDescent="0.35">
      <c r="D216" s="26"/>
    </row>
    <row r="217" spans="4:4" x14ac:dyDescent="0.35">
      <c r="D217" s="26"/>
    </row>
    <row r="218" spans="4:4" x14ac:dyDescent="0.35">
      <c r="D218" s="26"/>
    </row>
    <row r="219" spans="4:4" x14ac:dyDescent="0.35">
      <c r="D219" s="26"/>
    </row>
    <row r="220" spans="4:4" x14ac:dyDescent="0.35">
      <c r="D220" s="26"/>
    </row>
    <row r="221" spans="4:4" x14ac:dyDescent="0.35">
      <c r="D221" s="26"/>
    </row>
    <row r="222" spans="4:4" x14ac:dyDescent="0.35">
      <c r="D222" s="26"/>
    </row>
    <row r="223" spans="4:4" x14ac:dyDescent="0.35">
      <c r="D223" s="26"/>
    </row>
    <row r="224" spans="4:4" x14ac:dyDescent="0.35">
      <c r="D224" s="26"/>
    </row>
    <row r="225" spans="4:4" x14ac:dyDescent="0.35">
      <c r="D225" s="26"/>
    </row>
    <row r="226" spans="4:4" x14ac:dyDescent="0.35">
      <c r="D226" s="26"/>
    </row>
    <row r="227" spans="4:4" x14ac:dyDescent="0.35">
      <c r="D227" s="26"/>
    </row>
    <row r="228" spans="4:4" x14ac:dyDescent="0.35">
      <c r="D228" s="26"/>
    </row>
    <row r="229" spans="4:4" x14ac:dyDescent="0.35">
      <c r="D229" s="26"/>
    </row>
    <row r="230" spans="4:4" x14ac:dyDescent="0.35">
      <c r="D230" s="26"/>
    </row>
    <row r="231" spans="4:4" x14ac:dyDescent="0.35">
      <c r="D231" s="26"/>
    </row>
    <row r="232" spans="4:4" x14ac:dyDescent="0.35">
      <c r="D232" s="26"/>
    </row>
    <row r="233" spans="4:4" x14ac:dyDescent="0.35">
      <c r="D233" s="26"/>
    </row>
    <row r="234" spans="4:4" x14ac:dyDescent="0.35">
      <c r="D234" s="26"/>
    </row>
    <row r="235" spans="4:4" x14ac:dyDescent="0.35">
      <c r="D235" s="26"/>
    </row>
    <row r="236" spans="4:4" x14ac:dyDescent="0.35">
      <c r="D236" s="26"/>
    </row>
    <row r="237" spans="4:4" x14ac:dyDescent="0.35">
      <c r="D237" s="26"/>
    </row>
    <row r="238" spans="4:4" x14ac:dyDescent="0.35">
      <c r="D238" s="26"/>
    </row>
    <row r="239" spans="4:4" x14ac:dyDescent="0.35">
      <c r="D239" s="26"/>
    </row>
    <row r="240" spans="4:4" x14ac:dyDescent="0.35">
      <c r="D240" s="26"/>
    </row>
    <row r="241" spans="4:4" x14ac:dyDescent="0.35">
      <c r="D241" s="26"/>
    </row>
    <row r="242" spans="4:4" x14ac:dyDescent="0.35">
      <c r="D242" s="26"/>
    </row>
    <row r="243" spans="4:4" x14ac:dyDescent="0.35">
      <c r="D243" s="26"/>
    </row>
    <row r="244" spans="4:4" x14ac:dyDescent="0.35">
      <c r="D244" s="26"/>
    </row>
    <row r="245" spans="4:4" x14ac:dyDescent="0.35">
      <c r="D245" s="26"/>
    </row>
    <row r="246" spans="4:4" x14ac:dyDescent="0.35">
      <c r="D246" s="26"/>
    </row>
    <row r="247" spans="4:4" x14ac:dyDescent="0.35">
      <c r="D247" s="26"/>
    </row>
    <row r="248" spans="4:4" x14ac:dyDescent="0.35">
      <c r="D248" s="26"/>
    </row>
    <row r="249" spans="4:4" x14ac:dyDescent="0.35">
      <c r="D249" s="26"/>
    </row>
    <row r="250" spans="4:4" x14ac:dyDescent="0.35">
      <c r="D250" s="26"/>
    </row>
    <row r="251" spans="4:4" x14ac:dyDescent="0.35">
      <c r="D251" s="26"/>
    </row>
    <row r="252" spans="4:4" x14ac:dyDescent="0.35">
      <c r="D252" s="26"/>
    </row>
    <row r="253" spans="4:4" x14ac:dyDescent="0.35">
      <c r="D253" s="26"/>
    </row>
    <row r="254" spans="4:4" x14ac:dyDescent="0.35">
      <c r="D254" s="26"/>
    </row>
    <row r="255" spans="4:4" x14ac:dyDescent="0.35">
      <c r="D255" s="26"/>
    </row>
    <row r="256" spans="4:4" x14ac:dyDescent="0.35">
      <c r="D256" s="26"/>
    </row>
    <row r="257" spans="4:4" x14ac:dyDescent="0.35">
      <c r="D257" s="26"/>
    </row>
    <row r="258" spans="4:4" x14ac:dyDescent="0.35">
      <c r="D258" s="26"/>
    </row>
    <row r="259" spans="4:4" x14ac:dyDescent="0.35">
      <c r="D259" s="26"/>
    </row>
    <row r="260" spans="4:4" x14ac:dyDescent="0.35">
      <c r="D260" s="26"/>
    </row>
    <row r="261" spans="4:4" x14ac:dyDescent="0.35">
      <c r="D261" s="26"/>
    </row>
    <row r="262" spans="4:4" x14ac:dyDescent="0.35">
      <c r="D262" s="26"/>
    </row>
    <row r="263" spans="4:4" x14ac:dyDescent="0.35">
      <c r="D263" s="26"/>
    </row>
    <row r="264" spans="4:4" x14ac:dyDescent="0.35">
      <c r="D264" s="26"/>
    </row>
    <row r="265" spans="4:4" x14ac:dyDescent="0.35">
      <c r="D265" s="26"/>
    </row>
    <row r="266" spans="4:4" x14ac:dyDescent="0.35">
      <c r="D266" s="26"/>
    </row>
    <row r="267" spans="4:4" x14ac:dyDescent="0.35">
      <c r="D267" s="26"/>
    </row>
    <row r="268" spans="4:4" x14ac:dyDescent="0.35">
      <c r="D268" s="26"/>
    </row>
    <row r="269" spans="4:4" x14ac:dyDescent="0.35">
      <c r="D269" s="26"/>
    </row>
    <row r="270" spans="4:4" x14ac:dyDescent="0.35">
      <c r="D270" s="26"/>
    </row>
    <row r="271" spans="4:4" x14ac:dyDescent="0.35">
      <c r="D271" s="26"/>
    </row>
    <row r="272" spans="4:4" x14ac:dyDescent="0.35">
      <c r="D272" s="26"/>
    </row>
    <row r="273" spans="4:4" x14ac:dyDescent="0.35">
      <c r="D273" s="26"/>
    </row>
    <row r="274" spans="4:4" x14ac:dyDescent="0.35">
      <c r="D274" s="26"/>
    </row>
    <row r="275" spans="4:4" x14ac:dyDescent="0.35">
      <c r="D275" s="26"/>
    </row>
    <row r="276" spans="4:4" x14ac:dyDescent="0.35">
      <c r="D276" s="26"/>
    </row>
    <row r="277" spans="4:4" x14ac:dyDescent="0.35">
      <c r="D277" s="26"/>
    </row>
    <row r="278" spans="4:4" x14ac:dyDescent="0.35">
      <c r="D278" s="26"/>
    </row>
    <row r="279" spans="4:4" x14ac:dyDescent="0.35">
      <c r="D279" s="26"/>
    </row>
    <row r="280" spans="4:4" x14ac:dyDescent="0.35">
      <c r="D280" s="26"/>
    </row>
    <row r="281" spans="4:4" x14ac:dyDescent="0.35">
      <c r="D281" s="26"/>
    </row>
    <row r="282" spans="4:4" x14ac:dyDescent="0.35">
      <c r="D282" s="26"/>
    </row>
    <row r="283" spans="4:4" x14ac:dyDescent="0.35">
      <c r="D283" s="26"/>
    </row>
    <row r="284" spans="4:4" x14ac:dyDescent="0.35">
      <c r="D284" s="26"/>
    </row>
    <row r="285" spans="4:4" x14ac:dyDescent="0.35">
      <c r="D285" s="26"/>
    </row>
    <row r="286" spans="4:4" x14ac:dyDescent="0.35">
      <c r="D286" s="26"/>
    </row>
    <row r="287" spans="4:4" x14ac:dyDescent="0.35">
      <c r="D287" s="26"/>
    </row>
    <row r="288" spans="4:4" x14ac:dyDescent="0.35">
      <c r="D288" s="26"/>
    </row>
    <row r="289" spans="4:4" x14ac:dyDescent="0.35">
      <c r="D289" s="26"/>
    </row>
    <row r="290" spans="4:4" x14ac:dyDescent="0.35">
      <c r="D290" s="26"/>
    </row>
    <row r="291" spans="4:4" x14ac:dyDescent="0.35">
      <c r="D291" s="26"/>
    </row>
    <row r="292" spans="4:4" x14ac:dyDescent="0.35">
      <c r="D292" s="26"/>
    </row>
    <row r="293" spans="4:4" x14ac:dyDescent="0.35">
      <c r="D293" s="26"/>
    </row>
    <row r="294" spans="4:4" x14ac:dyDescent="0.35">
      <c r="D294" s="26"/>
    </row>
    <row r="295" spans="4:4" x14ac:dyDescent="0.35">
      <c r="D295" s="26"/>
    </row>
    <row r="296" spans="4:4" x14ac:dyDescent="0.35">
      <c r="D296" s="26"/>
    </row>
    <row r="297" spans="4:4" x14ac:dyDescent="0.35">
      <c r="D297" s="26"/>
    </row>
    <row r="298" spans="4:4" x14ac:dyDescent="0.35">
      <c r="D298" s="26"/>
    </row>
    <row r="299" spans="4:4" x14ac:dyDescent="0.35">
      <c r="D299" s="26"/>
    </row>
    <row r="300" spans="4:4" x14ac:dyDescent="0.35">
      <c r="D300" s="26"/>
    </row>
    <row r="301" spans="4:4" x14ac:dyDescent="0.35">
      <c r="D301" s="26"/>
    </row>
    <row r="302" spans="4:4" x14ac:dyDescent="0.35">
      <c r="D302" s="26"/>
    </row>
    <row r="303" spans="4:4" x14ac:dyDescent="0.35">
      <c r="D303" s="26"/>
    </row>
    <row r="304" spans="4:4" x14ac:dyDescent="0.35">
      <c r="D304" s="26"/>
    </row>
    <row r="305" spans="4:4" x14ac:dyDescent="0.35">
      <c r="D305" s="26"/>
    </row>
    <row r="306" spans="4:4" x14ac:dyDescent="0.35">
      <c r="D306" s="26"/>
    </row>
    <row r="307" spans="4:4" x14ac:dyDescent="0.35">
      <c r="D307" s="26"/>
    </row>
    <row r="308" spans="4:4" x14ac:dyDescent="0.35">
      <c r="D308" s="26"/>
    </row>
    <row r="309" spans="4:4" x14ac:dyDescent="0.35">
      <c r="D309" s="26"/>
    </row>
    <row r="310" spans="4:4" x14ac:dyDescent="0.35">
      <c r="D310" s="26"/>
    </row>
    <row r="311" spans="4:4" x14ac:dyDescent="0.35">
      <c r="D311" s="26"/>
    </row>
    <row r="312" spans="4:4" x14ac:dyDescent="0.35">
      <c r="D312" s="26"/>
    </row>
    <row r="313" spans="4:4" x14ac:dyDescent="0.35">
      <c r="D313" s="26"/>
    </row>
    <row r="314" spans="4:4" x14ac:dyDescent="0.35">
      <c r="D314" s="26"/>
    </row>
    <row r="315" spans="4:4" x14ac:dyDescent="0.35">
      <c r="D315" s="26"/>
    </row>
    <row r="316" spans="4:4" x14ac:dyDescent="0.35">
      <c r="D316" s="26"/>
    </row>
    <row r="317" spans="4:4" x14ac:dyDescent="0.35">
      <c r="D317" s="26"/>
    </row>
    <row r="318" spans="4:4" x14ac:dyDescent="0.35">
      <c r="D318" s="26"/>
    </row>
    <row r="319" spans="4:4" x14ac:dyDescent="0.35">
      <c r="D319" s="26"/>
    </row>
    <row r="320" spans="4:4" x14ac:dyDescent="0.35">
      <c r="D320" s="26"/>
    </row>
    <row r="321" spans="4:4" x14ac:dyDescent="0.35">
      <c r="D321" s="26"/>
    </row>
    <row r="322" spans="4:4" x14ac:dyDescent="0.35">
      <c r="D322" s="26"/>
    </row>
    <row r="323" spans="4:4" x14ac:dyDescent="0.35">
      <c r="D323" s="26"/>
    </row>
    <row r="324" spans="4:4" x14ac:dyDescent="0.35">
      <c r="D324" s="26"/>
    </row>
    <row r="325" spans="4:4" x14ac:dyDescent="0.35">
      <c r="D325" s="26"/>
    </row>
    <row r="326" spans="4:4" x14ac:dyDescent="0.35">
      <c r="D326" s="26"/>
    </row>
    <row r="327" spans="4:4" x14ac:dyDescent="0.35">
      <c r="D327" s="26"/>
    </row>
    <row r="328" spans="4:4" x14ac:dyDescent="0.35">
      <c r="D328" s="26"/>
    </row>
    <row r="329" spans="4:4" x14ac:dyDescent="0.35">
      <c r="D329" s="26"/>
    </row>
    <row r="330" spans="4:4" x14ac:dyDescent="0.35">
      <c r="D330" s="26"/>
    </row>
    <row r="331" spans="4:4" x14ac:dyDescent="0.35">
      <c r="D331" s="26"/>
    </row>
    <row r="332" spans="4:4" x14ac:dyDescent="0.35">
      <c r="D332" s="26"/>
    </row>
    <row r="333" spans="4:4" x14ac:dyDescent="0.35">
      <c r="D333" s="26"/>
    </row>
    <row r="334" spans="4:4" x14ac:dyDescent="0.35">
      <c r="D334" s="26"/>
    </row>
    <row r="335" spans="4:4" x14ac:dyDescent="0.35">
      <c r="D335" s="26"/>
    </row>
    <row r="336" spans="4:4" x14ac:dyDescent="0.35">
      <c r="D336" s="26"/>
    </row>
    <row r="337" spans="4:4" x14ac:dyDescent="0.35">
      <c r="D337" s="26"/>
    </row>
    <row r="338" spans="4:4" x14ac:dyDescent="0.35">
      <c r="D338" s="26"/>
    </row>
    <row r="339" spans="4:4" x14ac:dyDescent="0.35">
      <c r="D339" s="26"/>
    </row>
    <row r="340" spans="4:4" x14ac:dyDescent="0.35">
      <c r="D340" s="26"/>
    </row>
    <row r="341" spans="4:4" x14ac:dyDescent="0.35">
      <c r="D341" s="26"/>
    </row>
    <row r="342" spans="4:4" x14ac:dyDescent="0.35">
      <c r="D342" s="26"/>
    </row>
    <row r="343" spans="4:4" x14ac:dyDescent="0.35">
      <c r="D343" s="26"/>
    </row>
    <row r="344" spans="4:4" x14ac:dyDescent="0.35">
      <c r="D344" s="26"/>
    </row>
    <row r="345" spans="4:4" x14ac:dyDescent="0.35">
      <c r="D345" s="26"/>
    </row>
    <row r="346" spans="4:4" x14ac:dyDescent="0.35">
      <c r="D346" s="26"/>
    </row>
    <row r="347" spans="4:4" x14ac:dyDescent="0.35">
      <c r="D347" s="26"/>
    </row>
    <row r="348" spans="4:4" x14ac:dyDescent="0.35">
      <c r="D348" s="26"/>
    </row>
    <row r="349" spans="4:4" x14ac:dyDescent="0.35">
      <c r="D349" s="26"/>
    </row>
    <row r="350" spans="4:4" x14ac:dyDescent="0.35">
      <c r="D350" s="26"/>
    </row>
    <row r="351" spans="4:4" x14ac:dyDescent="0.35">
      <c r="D351" s="26"/>
    </row>
    <row r="352" spans="4:4" x14ac:dyDescent="0.35">
      <c r="D352" s="26"/>
    </row>
    <row r="353" spans="4:4" x14ac:dyDescent="0.35">
      <c r="D353" s="26"/>
    </row>
    <row r="354" spans="4:4" x14ac:dyDescent="0.35">
      <c r="D354" s="26"/>
    </row>
    <row r="355" spans="4:4" x14ac:dyDescent="0.35">
      <c r="D355" s="26"/>
    </row>
    <row r="356" spans="4:4" x14ac:dyDescent="0.35">
      <c r="D356" s="26"/>
    </row>
    <row r="357" spans="4:4" x14ac:dyDescent="0.35">
      <c r="D357" s="26"/>
    </row>
    <row r="358" spans="4:4" x14ac:dyDescent="0.35">
      <c r="D358" s="26"/>
    </row>
    <row r="359" spans="4:4" x14ac:dyDescent="0.35">
      <c r="D359" s="26"/>
    </row>
    <row r="360" spans="4:4" x14ac:dyDescent="0.35">
      <c r="D360" s="26"/>
    </row>
    <row r="361" spans="4:4" x14ac:dyDescent="0.35">
      <c r="D361" s="26"/>
    </row>
    <row r="362" spans="4:4" x14ac:dyDescent="0.35">
      <c r="D362" s="26"/>
    </row>
    <row r="363" spans="4:4" x14ac:dyDescent="0.35">
      <c r="D363" s="26"/>
    </row>
    <row r="364" spans="4:4" x14ac:dyDescent="0.35">
      <c r="D364" s="26"/>
    </row>
    <row r="365" spans="4:4" x14ac:dyDescent="0.35">
      <c r="D365" s="26"/>
    </row>
    <row r="366" spans="4:4" x14ac:dyDescent="0.35">
      <c r="D366" s="26"/>
    </row>
    <row r="367" spans="4:4" x14ac:dyDescent="0.35">
      <c r="D367" s="26"/>
    </row>
    <row r="368" spans="4:4" x14ac:dyDescent="0.35">
      <c r="D368" s="26"/>
    </row>
    <row r="369" spans="4:4" x14ac:dyDescent="0.35">
      <c r="D369" s="26"/>
    </row>
    <row r="370" spans="4:4" x14ac:dyDescent="0.35">
      <c r="D370" s="26"/>
    </row>
    <row r="371" spans="4:4" x14ac:dyDescent="0.35">
      <c r="D371" s="26"/>
    </row>
    <row r="372" spans="4:4" x14ac:dyDescent="0.35">
      <c r="D372" s="26"/>
    </row>
    <row r="373" spans="4:4" x14ac:dyDescent="0.35">
      <c r="D373" s="26"/>
    </row>
    <row r="374" spans="4:4" x14ac:dyDescent="0.35">
      <c r="D374" s="26"/>
    </row>
    <row r="375" spans="4:4" x14ac:dyDescent="0.35">
      <c r="D375" s="26"/>
    </row>
    <row r="376" spans="4:4" x14ac:dyDescent="0.35">
      <c r="D376" s="26"/>
    </row>
    <row r="377" spans="4:4" x14ac:dyDescent="0.35">
      <c r="D377" s="26"/>
    </row>
    <row r="378" spans="4:4" x14ac:dyDescent="0.35">
      <c r="D378" s="26"/>
    </row>
    <row r="379" spans="4:4" x14ac:dyDescent="0.35">
      <c r="D379" s="26"/>
    </row>
    <row r="380" spans="4:4" x14ac:dyDescent="0.35">
      <c r="D380" s="26"/>
    </row>
    <row r="381" spans="4:4" x14ac:dyDescent="0.35">
      <c r="D381" s="26"/>
    </row>
    <row r="382" spans="4:4" x14ac:dyDescent="0.35">
      <c r="D382" s="26"/>
    </row>
    <row r="383" spans="4:4" x14ac:dyDescent="0.35">
      <c r="D383" s="26"/>
    </row>
    <row r="384" spans="4:4" x14ac:dyDescent="0.35">
      <c r="D384" s="26"/>
    </row>
    <row r="385" spans="4:4" x14ac:dyDescent="0.35">
      <c r="D385" s="26"/>
    </row>
    <row r="386" spans="4:4" x14ac:dyDescent="0.35">
      <c r="D386" s="26"/>
    </row>
    <row r="387" spans="4:4" x14ac:dyDescent="0.35">
      <c r="D387" s="26"/>
    </row>
    <row r="388" spans="4:4" x14ac:dyDescent="0.35">
      <c r="D388" s="26"/>
    </row>
    <row r="389" spans="4:4" x14ac:dyDescent="0.35">
      <c r="D389" s="26"/>
    </row>
    <row r="390" spans="4:4" x14ac:dyDescent="0.35">
      <c r="D390" s="26"/>
    </row>
    <row r="391" spans="4:4" x14ac:dyDescent="0.35">
      <c r="D391" s="26"/>
    </row>
    <row r="392" spans="4:4" x14ac:dyDescent="0.35">
      <c r="D392" s="26"/>
    </row>
    <row r="393" spans="4:4" x14ac:dyDescent="0.35">
      <c r="D393" s="26"/>
    </row>
    <row r="394" spans="4:4" x14ac:dyDescent="0.35">
      <c r="D394" s="26"/>
    </row>
    <row r="395" spans="4:4" x14ac:dyDescent="0.35">
      <c r="D395" s="26"/>
    </row>
    <row r="396" spans="4:4" x14ac:dyDescent="0.35">
      <c r="D396" s="26"/>
    </row>
    <row r="397" spans="4:4" x14ac:dyDescent="0.35">
      <c r="D397" s="26"/>
    </row>
    <row r="398" spans="4:4" x14ac:dyDescent="0.35">
      <c r="D398" s="26"/>
    </row>
    <row r="399" spans="4:4" x14ac:dyDescent="0.35">
      <c r="D399" s="26"/>
    </row>
    <row r="400" spans="4:4" x14ac:dyDescent="0.35">
      <c r="D400" s="26"/>
    </row>
    <row r="401" spans="4:4" x14ac:dyDescent="0.35">
      <c r="D401" s="26"/>
    </row>
    <row r="402" spans="4:4" x14ac:dyDescent="0.35">
      <c r="D402" s="26"/>
    </row>
    <row r="403" spans="4:4" x14ac:dyDescent="0.35">
      <c r="D403" s="26"/>
    </row>
    <row r="404" spans="4:4" x14ac:dyDescent="0.35">
      <c r="D404" s="26"/>
    </row>
    <row r="405" spans="4:4" x14ac:dyDescent="0.35">
      <c r="D405" s="26"/>
    </row>
    <row r="406" spans="4:4" x14ac:dyDescent="0.35">
      <c r="D406" s="26"/>
    </row>
    <row r="407" spans="4:4" x14ac:dyDescent="0.35">
      <c r="D407" s="26"/>
    </row>
    <row r="408" spans="4:4" x14ac:dyDescent="0.35">
      <c r="D408" s="26"/>
    </row>
    <row r="409" spans="4:4" x14ac:dyDescent="0.35">
      <c r="D409" s="26"/>
    </row>
    <row r="410" spans="4:4" x14ac:dyDescent="0.35">
      <c r="D410" s="26"/>
    </row>
    <row r="411" spans="4:4" x14ac:dyDescent="0.35">
      <c r="D411" s="26"/>
    </row>
    <row r="412" spans="4:4" x14ac:dyDescent="0.35">
      <c r="D412" s="26"/>
    </row>
    <row r="413" spans="4:4" x14ac:dyDescent="0.35">
      <c r="D413" s="26"/>
    </row>
    <row r="414" spans="4:4" x14ac:dyDescent="0.35">
      <c r="D414" s="26"/>
    </row>
    <row r="415" spans="4:4" x14ac:dyDescent="0.35">
      <c r="D415" s="26"/>
    </row>
    <row r="416" spans="4:4" x14ac:dyDescent="0.35">
      <c r="D416" s="26"/>
    </row>
    <row r="417" spans="4:4" x14ac:dyDescent="0.35">
      <c r="D417" s="26"/>
    </row>
    <row r="418" spans="4:4" x14ac:dyDescent="0.35">
      <c r="D418" s="26"/>
    </row>
    <row r="419" spans="4:4" x14ac:dyDescent="0.35">
      <c r="D419" s="26"/>
    </row>
    <row r="420" spans="4:4" x14ac:dyDescent="0.35">
      <c r="D420" s="26"/>
    </row>
    <row r="421" spans="4:4" x14ac:dyDescent="0.35">
      <c r="D421" s="26"/>
    </row>
    <row r="422" spans="4:4" x14ac:dyDescent="0.35">
      <c r="D422" s="26"/>
    </row>
    <row r="423" spans="4:4" x14ac:dyDescent="0.35">
      <c r="D423" s="26"/>
    </row>
    <row r="424" spans="4:4" x14ac:dyDescent="0.35">
      <c r="D424" s="26"/>
    </row>
    <row r="425" spans="4:4" x14ac:dyDescent="0.35">
      <c r="D425" s="26"/>
    </row>
    <row r="426" spans="4:4" x14ac:dyDescent="0.35">
      <c r="D426" s="26"/>
    </row>
    <row r="427" spans="4:4" x14ac:dyDescent="0.35">
      <c r="D427" s="26"/>
    </row>
    <row r="428" spans="4:4" x14ac:dyDescent="0.35">
      <c r="D428" s="26"/>
    </row>
    <row r="429" spans="4:4" x14ac:dyDescent="0.35">
      <c r="D429" s="26"/>
    </row>
    <row r="430" spans="4:4" x14ac:dyDescent="0.35">
      <c r="D430" s="26"/>
    </row>
    <row r="431" spans="4:4" x14ac:dyDescent="0.35">
      <c r="D431" s="26"/>
    </row>
    <row r="432" spans="4:4" x14ac:dyDescent="0.35">
      <c r="D432" s="26"/>
    </row>
    <row r="433" spans="4:4" x14ac:dyDescent="0.35">
      <c r="D433" s="26"/>
    </row>
    <row r="434" spans="4:4" x14ac:dyDescent="0.35">
      <c r="D434" s="26"/>
    </row>
    <row r="435" spans="4:4" x14ac:dyDescent="0.35">
      <c r="D435" s="26"/>
    </row>
    <row r="436" spans="4:4" x14ac:dyDescent="0.35">
      <c r="D436" s="26"/>
    </row>
    <row r="437" spans="4:4" x14ac:dyDescent="0.35">
      <c r="D437" s="26"/>
    </row>
    <row r="438" spans="4:4" x14ac:dyDescent="0.35">
      <c r="D438" s="26"/>
    </row>
    <row r="439" spans="4:4" x14ac:dyDescent="0.35">
      <c r="D439" s="26"/>
    </row>
    <row r="440" spans="4:4" x14ac:dyDescent="0.35">
      <c r="D440" s="26"/>
    </row>
    <row r="441" spans="4:4" x14ac:dyDescent="0.35">
      <c r="D441" s="26"/>
    </row>
    <row r="442" spans="4:4" x14ac:dyDescent="0.35">
      <c r="D442" s="26"/>
    </row>
    <row r="443" spans="4:4" x14ac:dyDescent="0.35">
      <c r="D443" s="26"/>
    </row>
    <row r="444" spans="4:4" x14ac:dyDescent="0.35">
      <c r="D444" s="26"/>
    </row>
    <row r="445" spans="4:4" x14ac:dyDescent="0.35">
      <c r="D445" s="26"/>
    </row>
    <row r="446" spans="4:4" x14ac:dyDescent="0.35">
      <c r="D446" s="26"/>
    </row>
    <row r="447" spans="4:4" x14ac:dyDescent="0.35">
      <c r="D447" s="26"/>
    </row>
    <row r="448" spans="4:4" x14ac:dyDescent="0.35">
      <c r="D448" s="26"/>
    </row>
    <row r="449" spans="4:4" x14ac:dyDescent="0.35">
      <c r="D449" s="26"/>
    </row>
    <row r="450" spans="4:4" x14ac:dyDescent="0.35">
      <c r="D450" s="26"/>
    </row>
    <row r="451" spans="4:4" x14ac:dyDescent="0.35">
      <c r="D451" s="26"/>
    </row>
    <row r="452" spans="4:4" x14ac:dyDescent="0.35">
      <c r="D452" s="26"/>
    </row>
    <row r="453" spans="4:4" x14ac:dyDescent="0.35">
      <c r="D453" s="26"/>
    </row>
    <row r="454" spans="4:4" x14ac:dyDescent="0.35">
      <c r="D454" s="26"/>
    </row>
    <row r="455" spans="4:4" x14ac:dyDescent="0.35">
      <c r="D455" s="26"/>
    </row>
    <row r="456" spans="4:4" x14ac:dyDescent="0.35">
      <c r="D456" s="26"/>
    </row>
    <row r="457" spans="4:4" x14ac:dyDescent="0.35">
      <c r="D457" s="26"/>
    </row>
    <row r="458" spans="4:4" x14ac:dyDescent="0.35">
      <c r="D458" s="26"/>
    </row>
    <row r="459" spans="4:4" x14ac:dyDescent="0.35">
      <c r="D459" s="26"/>
    </row>
    <row r="460" spans="4:4" x14ac:dyDescent="0.35">
      <c r="D460" s="26"/>
    </row>
    <row r="461" spans="4:4" x14ac:dyDescent="0.35">
      <c r="D461" s="26"/>
    </row>
    <row r="462" spans="4:4" x14ac:dyDescent="0.35">
      <c r="D462" s="26"/>
    </row>
    <row r="463" spans="4:4" x14ac:dyDescent="0.35">
      <c r="D463" s="26"/>
    </row>
    <row r="464" spans="4:4" x14ac:dyDescent="0.35">
      <c r="D464" s="26"/>
    </row>
    <row r="465" spans="4:4" x14ac:dyDescent="0.35">
      <c r="D465" s="26"/>
    </row>
    <row r="466" spans="4:4" x14ac:dyDescent="0.35">
      <c r="D466" s="26"/>
    </row>
    <row r="467" spans="4:4" x14ac:dyDescent="0.35">
      <c r="D467" s="26"/>
    </row>
    <row r="468" spans="4:4" x14ac:dyDescent="0.35">
      <c r="D468" s="26"/>
    </row>
    <row r="469" spans="4:4" x14ac:dyDescent="0.35">
      <c r="D469" s="26"/>
    </row>
    <row r="470" spans="4:4" x14ac:dyDescent="0.35">
      <c r="D470" s="26"/>
    </row>
    <row r="471" spans="4:4" x14ac:dyDescent="0.35">
      <c r="D471" s="26"/>
    </row>
    <row r="472" spans="4:4" x14ac:dyDescent="0.35">
      <c r="D472" s="26"/>
    </row>
    <row r="473" spans="4:4" x14ac:dyDescent="0.35">
      <c r="D473" s="26"/>
    </row>
    <row r="474" spans="4:4" x14ac:dyDescent="0.35">
      <c r="D474" s="26"/>
    </row>
    <row r="475" spans="4:4" x14ac:dyDescent="0.35">
      <c r="D475" s="26"/>
    </row>
    <row r="476" spans="4:4" x14ac:dyDescent="0.35">
      <c r="D476" s="26"/>
    </row>
    <row r="477" spans="4:4" x14ac:dyDescent="0.35">
      <c r="D477" s="26"/>
    </row>
    <row r="478" spans="4:4" x14ac:dyDescent="0.35">
      <c r="D478" s="26"/>
    </row>
    <row r="479" spans="4:4" x14ac:dyDescent="0.35">
      <c r="D479" s="26"/>
    </row>
    <row r="480" spans="4:4" x14ac:dyDescent="0.35">
      <c r="D480" s="26"/>
    </row>
    <row r="481" spans="4:4" x14ac:dyDescent="0.35">
      <c r="D481" s="26"/>
    </row>
    <row r="482" spans="4:4" x14ac:dyDescent="0.35">
      <c r="D482" s="26"/>
    </row>
    <row r="483" spans="4:4" x14ac:dyDescent="0.35">
      <c r="D483" s="26"/>
    </row>
    <row r="484" spans="4:4" x14ac:dyDescent="0.35">
      <c r="D484" s="26"/>
    </row>
    <row r="485" spans="4:4" x14ac:dyDescent="0.35">
      <c r="D485" s="26"/>
    </row>
    <row r="486" spans="4:4" x14ac:dyDescent="0.35">
      <c r="D486" s="26"/>
    </row>
    <row r="487" spans="4:4" x14ac:dyDescent="0.35">
      <c r="D487" s="26"/>
    </row>
    <row r="488" spans="4:4" x14ac:dyDescent="0.35">
      <c r="D488" s="26"/>
    </row>
    <row r="489" spans="4:4" x14ac:dyDescent="0.35">
      <c r="D489" s="26"/>
    </row>
    <row r="490" spans="4:4" x14ac:dyDescent="0.35">
      <c r="D490" s="26"/>
    </row>
    <row r="491" spans="4:4" x14ac:dyDescent="0.35">
      <c r="D491" s="26"/>
    </row>
    <row r="492" spans="4:4" x14ac:dyDescent="0.35">
      <c r="D492" s="26"/>
    </row>
    <row r="493" spans="4:4" x14ac:dyDescent="0.35">
      <c r="D493" s="26"/>
    </row>
    <row r="494" spans="4:4" x14ac:dyDescent="0.35">
      <c r="D494" s="26"/>
    </row>
    <row r="495" spans="4:4" x14ac:dyDescent="0.35">
      <c r="D495" s="26"/>
    </row>
    <row r="496" spans="4:4" x14ac:dyDescent="0.35">
      <c r="D496" s="26"/>
    </row>
    <row r="497" spans="4:4" x14ac:dyDescent="0.35">
      <c r="D497" s="26"/>
    </row>
    <row r="498" spans="4:4" x14ac:dyDescent="0.35">
      <c r="D498" s="26"/>
    </row>
    <row r="499" spans="4:4" x14ac:dyDescent="0.35">
      <c r="D499" s="26"/>
    </row>
    <row r="500" spans="4:4" x14ac:dyDescent="0.35">
      <c r="D500" s="26"/>
    </row>
    <row r="501" spans="4:4" x14ac:dyDescent="0.35">
      <c r="D501" s="26"/>
    </row>
    <row r="502" spans="4:4" x14ac:dyDescent="0.35">
      <c r="D502" s="26"/>
    </row>
    <row r="503" spans="4:4" x14ac:dyDescent="0.35">
      <c r="D503" s="26"/>
    </row>
    <row r="504" spans="4:4" x14ac:dyDescent="0.35">
      <c r="D504" s="26"/>
    </row>
    <row r="505" spans="4:4" x14ac:dyDescent="0.35">
      <c r="D505" s="26"/>
    </row>
    <row r="506" spans="4:4" x14ac:dyDescent="0.35">
      <c r="D506" s="26"/>
    </row>
    <row r="507" spans="4:4" x14ac:dyDescent="0.35">
      <c r="D507" s="26"/>
    </row>
    <row r="508" spans="4:4" x14ac:dyDescent="0.35">
      <c r="D508" s="26"/>
    </row>
    <row r="509" spans="4:4" x14ac:dyDescent="0.35">
      <c r="D509" s="26"/>
    </row>
    <row r="510" spans="4:4" x14ac:dyDescent="0.35">
      <c r="D510" s="26"/>
    </row>
    <row r="511" spans="4:4" x14ac:dyDescent="0.35">
      <c r="D511" s="26"/>
    </row>
    <row r="512" spans="4:4" x14ac:dyDescent="0.35">
      <c r="D512" s="26"/>
    </row>
    <row r="513" spans="4:4" x14ac:dyDescent="0.35">
      <c r="D513" s="26"/>
    </row>
    <row r="514" spans="4:4" x14ac:dyDescent="0.35">
      <c r="D514" s="26"/>
    </row>
    <row r="515" spans="4:4" x14ac:dyDescent="0.35">
      <c r="D515" s="26"/>
    </row>
    <row r="516" spans="4:4" x14ac:dyDescent="0.35">
      <c r="D516" s="26"/>
    </row>
    <row r="517" spans="4:4" x14ac:dyDescent="0.35">
      <c r="D517" s="26"/>
    </row>
    <row r="518" spans="4:4" x14ac:dyDescent="0.35">
      <c r="D518" s="26"/>
    </row>
    <row r="519" spans="4:4" x14ac:dyDescent="0.35">
      <c r="D519" s="26"/>
    </row>
    <row r="520" spans="4:4" x14ac:dyDescent="0.35">
      <c r="D520" s="26"/>
    </row>
    <row r="521" spans="4:4" x14ac:dyDescent="0.35">
      <c r="D521" s="26"/>
    </row>
    <row r="522" spans="4:4" x14ac:dyDescent="0.35">
      <c r="D522" s="26"/>
    </row>
    <row r="523" spans="4:4" x14ac:dyDescent="0.35">
      <c r="D523" s="26"/>
    </row>
    <row r="524" spans="4:4" x14ac:dyDescent="0.35">
      <c r="D524" s="26"/>
    </row>
    <row r="525" spans="4:4" x14ac:dyDescent="0.35">
      <c r="D525" s="26"/>
    </row>
    <row r="526" spans="4:4" x14ac:dyDescent="0.35">
      <c r="D526" s="26"/>
    </row>
    <row r="527" spans="4:4" x14ac:dyDescent="0.35">
      <c r="D527" s="26"/>
    </row>
    <row r="528" spans="4:4" x14ac:dyDescent="0.35">
      <c r="D528" s="26"/>
    </row>
    <row r="529" spans="4:4" x14ac:dyDescent="0.35">
      <c r="D529" s="26"/>
    </row>
    <row r="530" spans="4:4" x14ac:dyDescent="0.35">
      <c r="D530" s="26"/>
    </row>
    <row r="531" spans="4:4" x14ac:dyDescent="0.35">
      <c r="D531" s="26"/>
    </row>
    <row r="532" spans="4:4" x14ac:dyDescent="0.35">
      <c r="D532" s="26"/>
    </row>
    <row r="533" spans="4:4" x14ac:dyDescent="0.35">
      <c r="D533" s="26"/>
    </row>
    <row r="534" spans="4:4" x14ac:dyDescent="0.35">
      <c r="D534" s="26"/>
    </row>
    <row r="535" spans="4:4" x14ac:dyDescent="0.35">
      <c r="D535" s="26"/>
    </row>
    <row r="536" spans="4:4" x14ac:dyDescent="0.35">
      <c r="D536" s="26"/>
    </row>
    <row r="537" spans="4:4" x14ac:dyDescent="0.35">
      <c r="D537" s="26"/>
    </row>
    <row r="538" spans="4:4" x14ac:dyDescent="0.35">
      <c r="D538" s="26"/>
    </row>
    <row r="539" spans="4:4" x14ac:dyDescent="0.35">
      <c r="D539" s="26"/>
    </row>
    <row r="540" spans="4:4" x14ac:dyDescent="0.35">
      <c r="D540" s="26"/>
    </row>
    <row r="541" spans="4:4" x14ac:dyDescent="0.35">
      <c r="D541" s="26"/>
    </row>
    <row r="542" spans="4:4" x14ac:dyDescent="0.35">
      <c r="D542" s="26"/>
    </row>
    <row r="543" spans="4:4" x14ac:dyDescent="0.35">
      <c r="D543" s="26"/>
    </row>
    <row r="544" spans="4:4" x14ac:dyDescent="0.35">
      <c r="D544" s="26"/>
    </row>
    <row r="545" spans="4:4" x14ac:dyDescent="0.35">
      <c r="D545" s="26"/>
    </row>
    <row r="546" spans="4:4" x14ac:dyDescent="0.35">
      <c r="D546" s="26"/>
    </row>
    <row r="547" spans="4:4" x14ac:dyDescent="0.35">
      <c r="D547" s="26"/>
    </row>
    <row r="548" spans="4:4" x14ac:dyDescent="0.35">
      <c r="D548" s="26"/>
    </row>
    <row r="549" spans="4:4" x14ac:dyDescent="0.35">
      <c r="D549" s="26"/>
    </row>
    <row r="550" spans="4:4" x14ac:dyDescent="0.35">
      <c r="D550" s="26"/>
    </row>
    <row r="551" spans="4:4" x14ac:dyDescent="0.35">
      <c r="D551" s="26"/>
    </row>
    <row r="552" spans="4:4" x14ac:dyDescent="0.35">
      <c r="D552" s="26"/>
    </row>
    <row r="553" spans="4:4" x14ac:dyDescent="0.35">
      <c r="D553" s="26"/>
    </row>
    <row r="554" spans="4:4" x14ac:dyDescent="0.35">
      <c r="D554" s="26"/>
    </row>
    <row r="555" spans="4:4" x14ac:dyDescent="0.35">
      <c r="D555" s="26"/>
    </row>
    <row r="556" spans="4:4" x14ac:dyDescent="0.35">
      <c r="D556" s="26"/>
    </row>
    <row r="557" spans="4:4" x14ac:dyDescent="0.35">
      <c r="D557" s="26"/>
    </row>
    <row r="558" spans="4:4" x14ac:dyDescent="0.35">
      <c r="D558" s="26"/>
    </row>
    <row r="559" spans="4:4" x14ac:dyDescent="0.35">
      <c r="D559" s="26"/>
    </row>
    <row r="560" spans="4:4" x14ac:dyDescent="0.35">
      <c r="D560" s="26"/>
    </row>
    <row r="561" spans="4:4" x14ac:dyDescent="0.35">
      <c r="D561" s="26"/>
    </row>
    <row r="562" spans="4:4" x14ac:dyDescent="0.35">
      <c r="D562" s="26"/>
    </row>
    <row r="563" spans="4:4" x14ac:dyDescent="0.35">
      <c r="D563" s="26"/>
    </row>
    <row r="564" spans="4:4" x14ac:dyDescent="0.35">
      <c r="D564" s="26"/>
    </row>
    <row r="565" spans="4:4" x14ac:dyDescent="0.35">
      <c r="D565" s="26"/>
    </row>
    <row r="566" spans="4:4" x14ac:dyDescent="0.35">
      <c r="D566" s="26"/>
    </row>
    <row r="567" spans="4:4" x14ac:dyDescent="0.35">
      <c r="D567" s="26"/>
    </row>
    <row r="568" spans="4:4" x14ac:dyDescent="0.35">
      <c r="D568" s="26"/>
    </row>
    <row r="569" spans="4:4" x14ac:dyDescent="0.35">
      <c r="D569" s="26"/>
    </row>
    <row r="570" spans="4:4" x14ac:dyDescent="0.35">
      <c r="D570" s="26"/>
    </row>
    <row r="571" spans="4:4" x14ac:dyDescent="0.35">
      <c r="D571" s="26"/>
    </row>
    <row r="572" spans="4:4" x14ac:dyDescent="0.35">
      <c r="D572" s="26"/>
    </row>
    <row r="573" spans="4:4" x14ac:dyDescent="0.35">
      <c r="D573" s="26"/>
    </row>
    <row r="574" spans="4:4" x14ac:dyDescent="0.35">
      <c r="D574" s="26"/>
    </row>
    <row r="575" spans="4:4" x14ac:dyDescent="0.35">
      <c r="D575" s="26"/>
    </row>
    <row r="576" spans="4:4" x14ac:dyDescent="0.35">
      <c r="D576" s="26"/>
    </row>
    <row r="577" spans="4:4" x14ac:dyDescent="0.35">
      <c r="D577" s="26"/>
    </row>
    <row r="578" spans="4:4" x14ac:dyDescent="0.35">
      <c r="D578" s="26"/>
    </row>
    <row r="579" spans="4:4" x14ac:dyDescent="0.35">
      <c r="D579" s="26"/>
    </row>
    <row r="580" spans="4:4" x14ac:dyDescent="0.35">
      <c r="D580" s="26"/>
    </row>
    <row r="581" spans="4:4" x14ac:dyDescent="0.35">
      <c r="D581" s="26"/>
    </row>
    <row r="582" spans="4:4" x14ac:dyDescent="0.35">
      <c r="D582" s="26"/>
    </row>
    <row r="583" spans="4:4" x14ac:dyDescent="0.35">
      <c r="D583" s="26"/>
    </row>
    <row r="584" spans="4:4" x14ac:dyDescent="0.35">
      <c r="D584" s="26"/>
    </row>
    <row r="585" spans="4:4" x14ac:dyDescent="0.35">
      <c r="D585" s="26"/>
    </row>
    <row r="586" spans="4:4" x14ac:dyDescent="0.35">
      <c r="D586" s="26"/>
    </row>
    <row r="587" spans="4:4" x14ac:dyDescent="0.35">
      <c r="D587" s="26"/>
    </row>
    <row r="588" spans="4:4" x14ac:dyDescent="0.35">
      <c r="D588" s="26"/>
    </row>
    <row r="589" spans="4:4" x14ac:dyDescent="0.35">
      <c r="D589" s="26"/>
    </row>
    <row r="590" spans="4:4" x14ac:dyDescent="0.35">
      <c r="D590" s="26"/>
    </row>
    <row r="591" spans="4:4" x14ac:dyDescent="0.35">
      <c r="D591" s="26"/>
    </row>
    <row r="592" spans="4:4" x14ac:dyDescent="0.35">
      <c r="D592" s="26"/>
    </row>
    <row r="593" spans="4:4" x14ac:dyDescent="0.35">
      <c r="D593" s="26"/>
    </row>
    <row r="594" spans="4:4" x14ac:dyDescent="0.35">
      <c r="D594" s="26"/>
    </row>
    <row r="595" spans="4:4" x14ac:dyDescent="0.35">
      <c r="D595" s="26"/>
    </row>
    <row r="596" spans="4:4" x14ac:dyDescent="0.35">
      <c r="D596" s="26"/>
    </row>
    <row r="597" spans="4:4" x14ac:dyDescent="0.35">
      <c r="D597" s="26"/>
    </row>
    <row r="598" spans="4:4" x14ac:dyDescent="0.35">
      <c r="D598" s="26"/>
    </row>
    <row r="599" spans="4:4" x14ac:dyDescent="0.35">
      <c r="D599" s="26"/>
    </row>
    <row r="600" spans="4:4" x14ac:dyDescent="0.35">
      <c r="D600" s="26"/>
    </row>
    <row r="601" spans="4:4" x14ac:dyDescent="0.35">
      <c r="D601" s="26"/>
    </row>
    <row r="602" spans="4:4" x14ac:dyDescent="0.35">
      <c r="D602" s="26"/>
    </row>
    <row r="603" spans="4:4" x14ac:dyDescent="0.35">
      <c r="D603" s="26"/>
    </row>
    <row r="604" spans="4:4" x14ac:dyDescent="0.35">
      <c r="D604" s="26"/>
    </row>
    <row r="605" spans="4:4" x14ac:dyDescent="0.35">
      <c r="D605" s="26"/>
    </row>
    <row r="606" spans="4:4" x14ac:dyDescent="0.35">
      <c r="D606" s="26"/>
    </row>
    <row r="607" spans="4:4" x14ac:dyDescent="0.35">
      <c r="D607" s="26"/>
    </row>
    <row r="608" spans="4:4" x14ac:dyDescent="0.35">
      <c r="D608" s="26"/>
    </row>
    <row r="609" spans="4:4" x14ac:dyDescent="0.35">
      <c r="D609" s="26"/>
    </row>
    <row r="610" spans="4:4" x14ac:dyDescent="0.35">
      <c r="D610" s="26"/>
    </row>
    <row r="611" spans="4:4" x14ac:dyDescent="0.35">
      <c r="D611" s="26"/>
    </row>
    <row r="612" spans="4:4" x14ac:dyDescent="0.35">
      <c r="D612" s="26"/>
    </row>
    <row r="613" spans="4:4" x14ac:dyDescent="0.35">
      <c r="D613" s="26"/>
    </row>
    <row r="614" spans="4:4" x14ac:dyDescent="0.35">
      <c r="D614" s="26"/>
    </row>
    <row r="615" spans="4:4" x14ac:dyDescent="0.35">
      <c r="D615" s="26"/>
    </row>
    <row r="616" spans="4:4" x14ac:dyDescent="0.35">
      <c r="D616" s="26"/>
    </row>
    <row r="617" spans="4:4" x14ac:dyDescent="0.35">
      <c r="D617" s="26"/>
    </row>
    <row r="618" spans="4:4" x14ac:dyDescent="0.35">
      <c r="D618" s="26"/>
    </row>
    <row r="619" spans="4:4" x14ac:dyDescent="0.35">
      <c r="D619" s="26"/>
    </row>
    <row r="620" spans="4:4" x14ac:dyDescent="0.35">
      <c r="D620" s="26"/>
    </row>
    <row r="621" spans="4:4" x14ac:dyDescent="0.35">
      <c r="D621" s="26"/>
    </row>
    <row r="622" spans="4:4" x14ac:dyDescent="0.35">
      <c r="D622" s="26"/>
    </row>
    <row r="623" spans="4:4" x14ac:dyDescent="0.35">
      <c r="D623" s="26"/>
    </row>
    <row r="624" spans="4:4" x14ac:dyDescent="0.35">
      <c r="D624" s="26"/>
    </row>
    <row r="625" spans="4:4" x14ac:dyDescent="0.35">
      <c r="D625" s="26"/>
    </row>
    <row r="626" spans="4:4" x14ac:dyDescent="0.35">
      <c r="D626" s="26"/>
    </row>
    <row r="627" spans="4:4" x14ac:dyDescent="0.35">
      <c r="D627" s="26"/>
    </row>
    <row r="628" spans="4:4" x14ac:dyDescent="0.35">
      <c r="D628" s="26"/>
    </row>
    <row r="629" spans="4:4" x14ac:dyDescent="0.35">
      <c r="D629" s="26"/>
    </row>
    <row r="630" spans="4:4" x14ac:dyDescent="0.35">
      <c r="D630" s="26"/>
    </row>
    <row r="631" spans="4:4" x14ac:dyDescent="0.35">
      <c r="D631" s="26"/>
    </row>
    <row r="632" spans="4:4" x14ac:dyDescent="0.35">
      <c r="D632" s="26"/>
    </row>
    <row r="633" spans="4:4" x14ac:dyDescent="0.35">
      <c r="D633" s="26"/>
    </row>
    <row r="634" spans="4:4" x14ac:dyDescent="0.35">
      <c r="D634" s="26"/>
    </row>
    <row r="635" spans="4:4" x14ac:dyDescent="0.35">
      <c r="D635" s="26"/>
    </row>
    <row r="636" spans="4:4" x14ac:dyDescent="0.35">
      <c r="D636" s="26"/>
    </row>
    <row r="637" spans="4:4" x14ac:dyDescent="0.35">
      <c r="D637" s="26"/>
    </row>
    <row r="638" spans="4:4" x14ac:dyDescent="0.35">
      <c r="D638" s="26"/>
    </row>
    <row r="639" spans="4:4" x14ac:dyDescent="0.35">
      <c r="D639" s="26"/>
    </row>
    <row r="640" spans="4:4" x14ac:dyDescent="0.35">
      <c r="D640" s="26"/>
    </row>
    <row r="641" spans="4:4" x14ac:dyDescent="0.35">
      <c r="D641" s="26"/>
    </row>
    <row r="642" spans="4:4" x14ac:dyDescent="0.35">
      <c r="D642" s="26"/>
    </row>
    <row r="643" spans="4:4" x14ac:dyDescent="0.35">
      <c r="D643" s="26"/>
    </row>
    <row r="644" spans="4:4" x14ac:dyDescent="0.35">
      <c r="D644" s="26"/>
    </row>
    <row r="645" spans="4:4" x14ac:dyDescent="0.35">
      <c r="D645" s="26"/>
    </row>
    <row r="646" spans="4:4" x14ac:dyDescent="0.35">
      <c r="D646" s="26"/>
    </row>
    <row r="647" spans="4:4" x14ac:dyDescent="0.35">
      <c r="D647" s="26"/>
    </row>
    <row r="648" spans="4:4" x14ac:dyDescent="0.35">
      <c r="D648" s="26"/>
    </row>
    <row r="649" spans="4:4" x14ac:dyDescent="0.35">
      <c r="D649" s="26"/>
    </row>
    <row r="650" spans="4:4" x14ac:dyDescent="0.35">
      <c r="D650" s="26"/>
    </row>
    <row r="651" spans="4:4" x14ac:dyDescent="0.35">
      <c r="D651" s="26"/>
    </row>
    <row r="652" spans="4:4" x14ac:dyDescent="0.35">
      <c r="D652" s="26"/>
    </row>
    <row r="653" spans="4:4" x14ac:dyDescent="0.35">
      <c r="D653" s="26"/>
    </row>
    <row r="654" spans="4:4" x14ac:dyDescent="0.35">
      <c r="D654" s="26"/>
    </row>
    <row r="655" spans="4:4" x14ac:dyDescent="0.35">
      <c r="D655" s="26"/>
    </row>
    <row r="656" spans="4:4" x14ac:dyDescent="0.35">
      <c r="D656" s="26"/>
    </row>
    <row r="657" spans="4:4" x14ac:dyDescent="0.35">
      <c r="D657" s="26"/>
    </row>
    <row r="658" spans="4:4" x14ac:dyDescent="0.35">
      <c r="D658" s="26"/>
    </row>
    <row r="659" spans="4:4" x14ac:dyDescent="0.35">
      <c r="D659" s="26"/>
    </row>
    <row r="660" spans="4:4" x14ac:dyDescent="0.35">
      <c r="D660" s="26"/>
    </row>
    <row r="661" spans="4:4" x14ac:dyDescent="0.35">
      <c r="D661" s="26"/>
    </row>
    <row r="662" spans="4:4" x14ac:dyDescent="0.35">
      <c r="D662" s="26"/>
    </row>
    <row r="663" spans="4:4" x14ac:dyDescent="0.35">
      <c r="D663" s="26"/>
    </row>
    <row r="664" spans="4:4" x14ac:dyDescent="0.35">
      <c r="D664" s="26"/>
    </row>
    <row r="665" spans="4:4" x14ac:dyDescent="0.35">
      <c r="D665" s="26"/>
    </row>
    <row r="666" spans="4:4" x14ac:dyDescent="0.35">
      <c r="D666" s="26"/>
    </row>
    <row r="667" spans="4:4" x14ac:dyDescent="0.35">
      <c r="D667" s="26"/>
    </row>
    <row r="668" spans="4:4" x14ac:dyDescent="0.35">
      <c r="D668" s="26"/>
    </row>
    <row r="669" spans="4:4" x14ac:dyDescent="0.35">
      <c r="D669" s="26"/>
    </row>
    <row r="670" spans="4:4" x14ac:dyDescent="0.35">
      <c r="D670" s="26"/>
    </row>
    <row r="671" spans="4:4" x14ac:dyDescent="0.35">
      <c r="D671" s="26"/>
    </row>
    <row r="672" spans="4:4" x14ac:dyDescent="0.35">
      <c r="D672" s="26"/>
    </row>
    <row r="673" spans="4:4" x14ac:dyDescent="0.35">
      <c r="D673" s="26"/>
    </row>
    <row r="674" spans="4:4" x14ac:dyDescent="0.35">
      <c r="D674" s="26"/>
    </row>
    <row r="675" spans="4:4" x14ac:dyDescent="0.35">
      <c r="D675" s="26"/>
    </row>
    <row r="676" spans="4:4" x14ac:dyDescent="0.35">
      <c r="D676" s="26"/>
    </row>
    <row r="677" spans="4:4" x14ac:dyDescent="0.35">
      <c r="D677" s="26"/>
    </row>
    <row r="678" spans="4:4" x14ac:dyDescent="0.35">
      <c r="D678" s="26"/>
    </row>
    <row r="679" spans="4:4" x14ac:dyDescent="0.35">
      <c r="D679" s="26"/>
    </row>
    <row r="680" spans="4:4" x14ac:dyDescent="0.35">
      <c r="D680" s="26"/>
    </row>
    <row r="681" spans="4:4" x14ac:dyDescent="0.35">
      <c r="D681" s="26"/>
    </row>
    <row r="682" spans="4:4" x14ac:dyDescent="0.35">
      <c r="D682" s="26"/>
    </row>
    <row r="683" spans="4:4" x14ac:dyDescent="0.35">
      <c r="D683" s="26"/>
    </row>
    <row r="684" spans="4:4" x14ac:dyDescent="0.35">
      <c r="D684" s="26"/>
    </row>
    <row r="685" spans="4:4" x14ac:dyDescent="0.35">
      <c r="D685" s="26"/>
    </row>
    <row r="686" spans="4:4" x14ac:dyDescent="0.35">
      <c r="D686" s="26"/>
    </row>
    <row r="687" spans="4:4" x14ac:dyDescent="0.35">
      <c r="D687" s="26"/>
    </row>
    <row r="688" spans="4:4" x14ac:dyDescent="0.35">
      <c r="D688" s="26"/>
    </row>
    <row r="689" spans="4:4" x14ac:dyDescent="0.35">
      <c r="D689" s="26"/>
    </row>
    <row r="690" spans="4:4" x14ac:dyDescent="0.35">
      <c r="D690" s="26"/>
    </row>
    <row r="691" spans="4:4" x14ac:dyDescent="0.35">
      <c r="D691" s="26"/>
    </row>
    <row r="692" spans="4:4" x14ac:dyDescent="0.35">
      <c r="D692" s="26"/>
    </row>
    <row r="693" spans="4:4" x14ac:dyDescent="0.35">
      <c r="D693" s="26"/>
    </row>
    <row r="694" spans="4:4" x14ac:dyDescent="0.35">
      <c r="D694" s="26"/>
    </row>
    <row r="695" spans="4:4" x14ac:dyDescent="0.35">
      <c r="D695" s="26"/>
    </row>
    <row r="696" spans="4:4" x14ac:dyDescent="0.35">
      <c r="D696" s="26"/>
    </row>
    <row r="697" spans="4:4" x14ac:dyDescent="0.35">
      <c r="D697" s="26"/>
    </row>
    <row r="698" spans="4:4" x14ac:dyDescent="0.35">
      <c r="D698" s="26"/>
    </row>
    <row r="699" spans="4:4" x14ac:dyDescent="0.35">
      <c r="D699" s="26"/>
    </row>
    <row r="700" spans="4:4" x14ac:dyDescent="0.35">
      <c r="D700" s="26"/>
    </row>
    <row r="701" spans="4:4" x14ac:dyDescent="0.35">
      <c r="D701" s="26"/>
    </row>
    <row r="702" spans="4:4" x14ac:dyDescent="0.35">
      <c r="D702" s="26"/>
    </row>
    <row r="703" spans="4:4" x14ac:dyDescent="0.35">
      <c r="D703" s="26"/>
    </row>
    <row r="704" spans="4:4" x14ac:dyDescent="0.35">
      <c r="D704" s="26"/>
    </row>
    <row r="705" spans="4:4" x14ac:dyDescent="0.35">
      <c r="D705" s="26"/>
    </row>
    <row r="706" spans="4:4" x14ac:dyDescent="0.35">
      <c r="D706" s="26"/>
    </row>
    <row r="707" spans="4:4" x14ac:dyDescent="0.35">
      <c r="D707" s="26"/>
    </row>
    <row r="708" spans="4:4" x14ac:dyDescent="0.35">
      <c r="D708" s="26"/>
    </row>
    <row r="709" spans="4:4" x14ac:dyDescent="0.35">
      <c r="D709" s="26"/>
    </row>
    <row r="710" spans="4:4" x14ac:dyDescent="0.35">
      <c r="D710" s="26"/>
    </row>
    <row r="711" spans="4:4" x14ac:dyDescent="0.35">
      <c r="D711" s="26"/>
    </row>
    <row r="712" spans="4:4" x14ac:dyDescent="0.35">
      <c r="D712" s="26"/>
    </row>
    <row r="713" spans="4:4" x14ac:dyDescent="0.35">
      <c r="D713" s="26"/>
    </row>
    <row r="714" spans="4:4" x14ac:dyDescent="0.35">
      <c r="D714" s="26"/>
    </row>
    <row r="715" spans="4:4" x14ac:dyDescent="0.35">
      <c r="D715" s="26"/>
    </row>
    <row r="716" spans="4:4" x14ac:dyDescent="0.35">
      <c r="D716" s="26"/>
    </row>
    <row r="717" spans="4:4" x14ac:dyDescent="0.35">
      <c r="D717" s="26"/>
    </row>
    <row r="718" spans="4:4" x14ac:dyDescent="0.35">
      <c r="D718" s="26"/>
    </row>
    <row r="719" spans="4:4" x14ac:dyDescent="0.35">
      <c r="D719" s="26"/>
    </row>
    <row r="720" spans="4:4" x14ac:dyDescent="0.35">
      <c r="D720" s="26"/>
    </row>
    <row r="721" spans="4:4" x14ac:dyDescent="0.35">
      <c r="D721" s="26"/>
    </row>
    <row r="722" spans="4:4" x14ac:dyDescent="0.35">
      <c r="D722" s="26"/>
    </row>
    <row r="723" spans="4:4" x14ac:dyDescent="0.35">
      <c r="D723" s="26"/>
    </row>
    <row r="724" spans="4:4" x14ac:dyDescent="0.35">
      <c r="D724" s="26"/>
    </row>
    <row r="725" spans="4:4" x14ac:dyDescent="0.35">
      <c r="D725" s="26"/>
    </row>
    <row r="726" spans="4:4" x14ac:dyDescent="0.35">
      <c r="D726" s="26"/>
    </row>
    <row r="727" spans="4:4" x14ac:dyDescent="0.35">
      <c r="D727" s="26"/>
    </row>
    <row r="728" spans="4:4" x14ac:dyDescent="0.35">
      <c r="D728" s="26"/>
    </row>
    <row r="729" spans="4:4" x14ac:dyDescent="0.35">
      <c r="D729" s="26"/>
    </row>
    <row r="730" spans="4:4" x14ac:dyDescent="0.35">
      <c r="D730" s="26"/>
    </row>
    <row r="731" spans="4:4" x14ac:dyDescent="0.35">
      <c r="D731" s="26"/>
    </row>
    <row r="732" spans="4:4" x14ac:dyDescent="0.35">
      <c r="D732" s="26"/>
    </row>
    <row r="733" spans="4:4" x14ac:dyDescent="0.35">
      <c r="D733" s="26"/>
    </row>
    <row r="734" spans="4:4" x14ac:dyDescent="0.35">
      <c r="D734" s="26"/>
    </row>
    <row r="735" spans="4:4" x14ac:dyDescent="0.35">
      <c r="D735" s="26"/>
    </row>
    <row r="736" spans="4:4" x14ac:dyDescent="0.35">
      <c r="D736" s="26"/>
    </row>
    <row r="737" spans="4:4" x14ac:dyDescent="0.35">
      <c r="D737" s="26"/>
    </row>
    <row r="738" spans="4:4" x14ac:dyDescent="0.35">
      <c r="D738" s="26"/>
    </row>
    <row r="739" spans="4:4" x14ac:dyDescent="0.35">
      <c r="D739" s="26"/>
    </row>
    <row r="740" spans="4:4" x14ac:dyDescent="0.35">
      <c r="D740" s="26"/>
    </row>
    <row r="741" spans="4:4" x14ac:dyDescent="0.35">
      <c r="D741" s="26"/>
    </row>
    <row r="742" spans="4:4" x14ac:dyDescent="0.35">
      <c r="D742" s="26"/>
    </row>
    <row r="743" spans="4:4" x14ac:dyDescent="0.35">
      <c r="D743" s="26"/>
    </row>
    <row r="744" spans="4:4" x14ac:dyDescent="0.35">
      <c r="D744" s="26"/>
    </row>
    <row r="745" spans="4:4" x14ac:dyDescent="0.35">
      <c r="D745" s="26"/>
    </row>
    <row r="746" spans="4:4" x14ac:dyDescent="0.35">
      <c r="D746" s="26"/>
    </row>
    <row r="747" spans="4:4" x14ac:dyDescent="0.35">
      <c r="D747" s="26"/>
    </row>
    <row r="748" spans="4:4" x14ac:dyDescent="0.35">
      <c r="D748" s="26"/>
    </row>
    <row r="749" spans="4:4" x14ac:dyDescent="0.35">
      <c r="D749" s="26"/>
    </row>
    <row r="750" spans="4:4" x14ac:dyDescent="0.35">
      <c r="D750" s="26"/>
    </row>
    <row r="751" spans="4:4" x14ac:dyDescent="0.35">
      <c r="D751" s="26"/>
    </row>
    <row r="752" spans="4:4" x14ac:dyDescent="0.35">
      <c r="D752" s="26"/>
    </row>
    <row r="753" spans="4:4" x14ac:dyDescent="0.35">
      <c r="D753" s="26"/>
    </row>
    <row r="754" spans="4:4" x14ac:dyDescent="0.35">
      <c r="D754" s="26"/>
    </row>
    <row r="755" spans="4:4" x14ac:dyDescent="0.35">
      <c r="D755" s="26"/>
    </row>
    <row r="756" spans="4:4" x14ac:dyDescent="0.35">
      <c r="D756" s="26"/>
    </row>
    <row r="757" spans="4:4" x14ac:dyDescent="0.35">
      <c r="D757" s="26"/>
    </row>
    <row r="758" spans="4:4" x14ac:dyDescent="0.35">
      <c r="D758" s="26"/>
    </row>
    <row r="759" spans="4:4" x14ac:dyDescent="0.35">
      <c r="D759" s="26"/>
    </row>
    <row r="760" spans="4:4" x14ac:dyDescent="0.35">
      <c r="D760" s="26"/>
    </row>
    <row r="761" spans="4:4" x14ac:dyDescent="0.35">
      <c r="D761" s="26"/>
    </row>
    <row r="762" spans="4:4" x14ac:dyDescent="0.35">
      <c r="D762" s="26"/>
    </row>
    <row r="763" spans="4:4" x14ac:dyDescent="0.35">
      <c r="D763" s="26"/>
    </row>
    <row r="764" spans="4:4" x14ac:dyDescent="0.35">
      <c r="D764" s="26"/>
    </row>
    <row r="765" spans="4:4" x14ac:dyDescent="0.35">
      <c r="D765" s="26"/>
    </row>
    <row r="766" spans="4:4" x14ac:dyDescent="0.35">
      <c r="D766" s="26"/>
    </row>
    <row r="767" spans="4:4" x14ac:dyDescent="0.35">
      <c r="D767" s="26"/>
    </row>
    <row r="768" spans="4:4" x14ac:dyDescent="0.35">
      <c r="D768" s="26"/>
    </row>
    <row r="769" spans="4:4" x14ac:dyDescent="0.35">
      <c r="D769" s="26"/>
    </row>
    <row r="770" spans="4:4" x14ac:dyDescent="0.35">
      <c r="D770" s="26"/>
    </row>
    <row r="771" spans="4:4" x14ac:dyDescent="0.35">
      <c r="D771" s="26"/>
    </row>
    <row r="772" spans="4:4" x14ac:dyDescent="0.35">
      <c r="D772" s="26"/>
    </row>
    <row r="773" spans="4:4" x14ac:dyDescent="0.35">
      <c r="D773" s="26"/>
    </row>
    <row r="774" spans="4:4" x14ac:dyDescent="0.35">
      <c r="D774" s="26"/>
    </row>
    <row r="775" spans="4:4" x14ac:dyDescent="0.35">
      <c r="D775" s="26"/>
    </row>
    <row r="776" spans="4:4" x14ac:dyDescent="0.35">
      <c r="D776" s="26"/>
    </row>
    <row r="777" spans="4:4" x14ac:dyDescent="0.35">
      <c r="D777" s="26"/>
    </row>
    <row r="778" spans="4:4" x14ac:dyDescent="0.35">
      <c r="D778" s="26"/>
    </row>
    <row r="779" spans="4:4" x14ac:dyDescent="0.35">
      <c r="D779" s="26"/>
    </row>
    <row r="780" spans="4:4" x14ac:dyDescent="0.35">
      <c r="D780" s="26"/>
    </row>
    <row r="781" spans="4:4" x14ac:dyDescent="0.35">
      <c r="D781" s="26"/>
    </row>
    <row r="782" spans="4:4" x14ac:dyDescent="0.35">
      <c r="D782" s="26"/>
    </row>
    <row r="783" spans="4:4" x14ac:dyDescent="0.35">
      <c r="D783" s="26"/>
    </row>
    <row r="784" spans="4:4" x14ac:dyDescent="0.35">
      <c r="D784" s="26"/>
    </row>
    <row r="785" spans="4:4" x14ac:dyDescent="0.35">
      <c r="D785" s="26"/>
    </row>
    <row r="786" spans="4:4" x14ac:dyDescent="0.35">
      <c r="D786" s="26"/>
    </row>
    <row r="787" spans="4:4" x14ac:dyDescent="0.35">
      <c r="D787" s="26"/>
    </row>
    <row r="788" spans="4:4" x14ac:dyDescent="0.35">
      <c r="D788" s="26"/>
    </row>
    <row r="789" spans="4:4" x14ac:dyDescent="0.35">
      <c r="D789" s="26"/>
    </row>
    <row r="790" spans="4:4" x14ac:dyDescent="0.35">
      <c r="D790" s="26"/>
    </row>
    <row r="791" spans="4:4" x14ac:dyDescent="0.35">
      <c r="D791" s="26"/>
    </row>
    <row r="792" spans="4:4" x14ac:dyDescent="0.35">
      <c r="D792" s="26"/>
    </row>
    <row r="793" spans="4:4" x14ac:dyDescent="0.35">
      <c r="D793" s="26"/>
    </row>
    <row r="794" spans="4:4" x14ac:dyDescent="0.35">
      <c r="D794" s="26"/>
    </row>
    <row r="795" spans="4:4" x14ac:dyDescent="0.35">
      <c r="D795" s="26"/>
    </row>
    <row r="796" spans="4:4" x14ac:dyDescent="0.35">
      <c r="D796" s="26"/>
    </row>
    <row r="797" spans="4:4" x14ac:dyDescent="0.35">
      <c r="D797" s="26"/>
    </row>
    <row r="798" spans="4:4" x14ac:dyDescent="0.35">
      <c r="D798" s="26"/>
    </row>
    <row r="799" spans="4:4" x14ac:dyDescent="0.35">
      <c r="D799" s="26"/>
    </row>
    <row r="800" spans="4:4" x14ac:dyDescent="0.35">
      <c r="D800" s="26"/>
    </row>
    <row r="801" spans="4:4" x14ac:dyDescent="0.35">
      <c r="D801" s="26"/>
    </row>
    <row r="802" spans="4:4" x14ac:dyDescent="0.35">
      <c r="D802" s="26"/>
    </row>
    <row r="803" spans="4:4" x14ac:dyDescent="0.35">
      <c r="D803" s="26"/>
    </row>
    <row r="804" spans="4:4" x14ac:dyDescent="0.35">
      <c r="D804" s="26"/>
    </row>
    <row r="805" spans="4:4" x14ac:dyDescent="0.35">
      <c r="D805" s="26"/>
    </row>
    <row r="806" spans="4:4" x14ac:dyDescent="0.35">
      <c r="D806" s="26"/>
    </row>
    <row r="807" spans="4:4" x14ac:dyDescent="0.35">
      <c r="D807" s="26"/>
    </row>
    <row r="808" spans="4:4" x14ac:dyDescent="0.35">
      <c r="D808" s="26"/>
    </row>
    <row r="809" spans="4:4" x14ac:dyDescent="0.35">
      <c r="D809" s="26"/>
    </row>
    <row r="810" spans="4:4" x14ac:dyDescent="0.35">
      <c r="D810" s="26"/>
    </row>
    <row r="811" spans="4:4" x14ac:dyDescent="0.35">
      <c r="D811" s="26"/>
    </row>
    <row r="812" spans="4:4" x14ac:dyDescent="0.35">
      <c r="D812" s="26"/>
    </row>
    <row r="813" spans="4:4" x14ac:dyDescent="0.35">
      <c r="D813" s="26"/>
    </row>
    <row r="814" spans="4:4" x14ac:dyDescent="0.35">
      <c r="D814" s="26"/>
    </row>
    <row r="815" spans="4:4" x14ac:dyDescent="0.35">
      <c r="D815" s="26"/>
    </row>
    <row r="816" spans="4:4" x14ac:dyDescent="0.35">
      <c r="D816" s="26"/>
    </row>
    <row r="817" spans="4:4" x14ac:dyDescent="0.35">
      <c r="D817" s="26"/>
    </row>
    <row r="818" spans="4:4" x14ac:dyDescent="0.35">
      <c r="D818" s="26"/>
    </row>
    <row r="819" spans="4:4" x14ac:dyDescent="0.35">
      <c r="D819" s="26"/>
    </row>
    <row r="820" spans="4:4" x14ac:dyDescent="0.35">
      <c r="D820" s="26"/>
    </row>
    <row r="821" spans="4:4" x14ac:dyDescent="0.35">
      <c r="D821" s="26"/>
    </row>
    <row r="822" spans="4:4" x14ac:dyDescent="0.35">
      <c r="D822" s="26"/>
    </row>
    <row r="823" spans="4:4" x14ac:dyDescent="0.35">
      <c r="D823" s="26"/>
    </row>
    <row r="824" spans="4:4" x14ac:dyDescent="0.35">
      <c r="D824" s="26"/>
    </row>
    <row r="825" spans="4:4" x14ac:dyDescent="0.35">
      <c r="D825" s="26"/>
    </row>
    <row r="826" spans="4:4" x14ac:dyDescent="0.35">
      <c r="D826" s="26"/>
    </row>
    <row r="827" spans="4:4" x14ac:dyDescent="0.35">
      <c r="D827" s="26"/>
    </row>
    <row r="828" spans="4:4" x14ac:dyDescent="0.35">
      <c r="D828" s="26"/>
    </row>
    <row r="829" spans="4:4" x14ac:dyDescent="0.35">
      <c r="D829" s="26"/>
    </row>
    <row r="830" spans="4:4" x14ac:dyDescent="0.35">
      <c r="D830" s="26"/>
    </row>
    <row r="831" spans="4:4" x14ac:dyDescent="0.35">
      <c r="D831" s="26"/>
    </row>
    <row r="832" spans="4:4" x14ac:dyDescent="0.35">
      <c r="D832" s="26"/>
    </row>
    <row r="833" spans="4:4" x14ac:dyDescent="0.35">
      <c r="D833" s="26"/>
    </row>
    <row r="834" spans="4:4" x14ac:dyDescent="0.35">
      <c r="D834" s="26"/>
    </row>
    <row r="835" spans="4:4" x14ac:dyDescent="0.35">
      <c r="D835" s="26"/>
    </row>
    <row r="836" spans="4:4" x14ac:dyDescent="0.35">
      <c r="D836" s="26"/>
    </row>
    <row r="837" spans="4:4" x14ac:dyDescent="0.35">
      <c r="D837" s="26"/>
    </row>
    <row r="838" spans="4:4" x14ac:dyDescent="0.35">
      <c r="D838" s="26"/>
    </row>
    <row r="839" spans="4:4" x14ac:dyDescent="0.35">
      <c r="D839" s="26"/>
    </row>
    <row r="840" spans="4:4" x14ac:dyDescent="0.35">
      <c r="D840" s="26"/>
    </row>
    <row r="841" spans="4:4" x14ac:dyDescent="0.35">
      <c r="D841" s="26"/>
    </row>
    <row r="842" spans="4:4" x14ac:dyDescent="0.35">
      <c r="D842" s="26"/>
    </row>
    <row r="843" spans="4:4" x14ac:dyDescent="0.35">
      <c r="D843" s="26"/>
    </row>
    <row r="844" spans="4:4" x14ac:dyDescent="0.35">
      <c r="D844" s="26"/>
    </row>
    <row r="845" spans="4:4" x14ac:dyDescent="0.35">
      <c r="D845" s="26"/>
    </row>
    <row r="846" spans="4:4" x14ac:dyDescent="0.35">
      <c r="D846" s="26"/>
    </row>
    <row r="847" spans="4:4" x14ac:dyDescent="0.35">
      <c r="D847" s="26"/>
    </row>
    <row r="848" spans="4:4" x14ac:dyDescent="0.35">
      <c r="D848" s="26"/>
    </row>
    <row r="849" spans="4:4" x14ac:dyDescent="0.35">
      <c r="D849" s="26"/>
    </row>
    <row r="850" spans="4:4" x14ac:dyDescent="0.35">
      <c r="D850" s="26"/>
    </row>
    <row r="851" spans="4:4" x14ac:dyDescent="0.35">
      <c r="D851" s="26"/>
    </row>
    <row r="852" spans="4:4" x14ac:dyDescent="0.35">
      <c r="D852" s="26"/>
    </row>
    <row r="853" spans="4:4" x14ac:dyDescent="0.35">
      <c r="D853" s="26"/>
    </row>
    <row r="854" spans="4:4" x14ac:dyDescent="0.35">
      <c r="D854" s="26"/>
    </row>
    <row r="855" spans="4:4" x14ac:dyDescent="0.35">
      <c r="D855" s="26"/>
    </row>
    <row r="856" spans="4:4" x14ac:dyDescent="0.35">
      <c r="D856" s="26"/>
    </row>
    <row r="857" spans="4:4" x14ac:dyDescent="0.35">
      <c r="D857" s="26"/>
    </row>
    <row r="858" spans="4:4" x14ac:dyDescent="0.35">
      <c r="D858" s="26"/>
    </row>
    <row r="859" spans="4:4" x14ac:dyDescent="0.35">
      <c r="D859" s="26"/>
    </row>
    <row r="860" spans="4:4" x14ac:dyDescent="0.35">
      <c r="D860" s="26"/>
    </row>
    <row r="861" spans="4:4" x14ac:dyDescent="0.35">
      <c r="D861" s="26"/>
    </row>
    <row r="862" spans="4:4" x14ac:dyDescent="0.35">
      <c r="D862" s="26"/>
    </row>
    <row r="863" spans="4:4" x14ac:dyDescent="0.35">
      <c r="D863" s="26"/>
    </row>
    <row r="864" spans="4:4" x14ac:dyDescent="0.35">
      <c r="D864" s="26"/>
    </row>
    <row r="865" spans="4:4" x14ac:dyDescent="0.35">
      <c r="D865" s="26"/>
    </row>
    <row r="866" spans="4:4" x14ac:dyDescent="0.35">
      <c r="D866" s="26"/>
    </row>
    <row r="867" spans="4:4" x14ac:dyDescent="0.35">
      <c r="D867" s="26"/>
    </row>
    <row r="868" spans="4:4" x14ac:dyDescent="0.35">
      <c r="D868" s="26"/>
    </row>
    <row r="869" spans="4:4" x14ac:dyDescent="0.35">
      <c r="D869" s="26"/>
    </row>
    <row r="870" spans="4:4" x14ac:dyDescent="0.35">
      <c r="D870" s="26"/>
    </row>
    <row r="871" spans="4:4" x14ac:dyDescent="0.35">
      <c r="D871" s="26"/>
    </row>
    <row r="872" spans="4:4" x14ac:dyDescent="0.35">
      <c r="D872" s="26"/>
    </row>
    <row r="873" spans="4:4" x14ac:dyDescent="0.35">
      <c r="D873" s="26"/>
    </row>
    <row r="874" spans="4:4" x14ac:dyDescent="0.35">
      <c r="D874" s="26"/>
    </row>
    <row r="875" spans="4:4" x14ac:dyDescent="0.35">
      <c r="D875" s="26"/>
    </row>
    <row r="876" spans="4:4" x14ac:dyDescent="0.35">
      <c r="D876" s="26"/>
    </row>
    <row r="877" spans="4:4" x14ac:dyDescent="0.35">
      <c r="D877" s="26"/>
    </row>
    <row r="878" spans="4:4" x14ac:dyDescent="0.35">
      <c r="D878" s="26"/>
    </row>
    <row r="879" spans="4:4" x14ac:dyDescent="0.35">
      <c r="D879" s="26"/>
    </row>
    <row r="880" spans="4:4" x14ac:dyDescent="0.35">
      <c r="D880" s="26"/>
    </row>
    <row r="881" spans="4:4" x14ac:dyDescent="0.35">
      <c r="D881" s="26"/>
    </row>
    <row r="882" spans="4:4" x14ac:dyDescent="0.35">
      <c r="D882" s="26"/>
    </row>
    <row r="883" spans="4:4" x14ac:dyDescent="0.35">
      <c r="D883" s="26"/>
    </row>
    <row r="884" spans="4:4" x14ac:dyDescent="0.35">
      <c r="D884" s="26"/>
    </row>
    <row r="885" spans="4:4" x14ac:dyDescent="0.35">
      <c r="D885" s="26"/>
    </row>
    <row r="886" spans="4:4" x14ac:dyDescent="0.35">
      <c r="D886" s="26"/>
    </row>
    <row r="887" spans="4:4" x14ac:dyDescent="0.35">
      <c r="D887" s="26"/>
    </row>
    <row r="888" spans="4:4" x14ac:dyDescent="0.35">
      <c r="D888" s="26"/>
    </row>
    <row r="889" spans="4:4" x14ac:dyDescent="0.35">
      <c r="D889" s="26"/>
    </row>
    <row r="890" spans="4:4" x14ac:dyDescent="0.35">
      <c r="D890" s="26"/>
    </row>
    <row r="891" spans="4:4" x14ac:dyDescent="0.35">
      <c r="D891" s="26"/>
    </row>
    <row r="892" spans="4:4" x14ac:dyDescent="0.35">
      <c r="D892" s="26"/>
    </row>
    <row r="893" spans="4:4" x14ac:dyDescent="0.35">
      <c r="D893" s="26"/>
    </row>
    <row r="894" spans="4:4" x14ac:dyDescent="0.35">
      <c r="D894" s="26"/>
    </row>
    <row r="895" spans="4:4" x14ac:dyDescent="0.35">
      <c r="D895" s="26"/>
    </row>
    <row r="896" spans="4:4" x14ac:dyDescent="0.35">
      <c r="D896" s="26"/>
    </row>
    <row r="897" spans="4:4" x14ac:dyDescent="0.35">
      <c r="D897" s="26"/>
    </row>
    <row r="898" spans="4:4" x14ac:dyDescent="0.35">
      <c r="D898" s="26"/>
    </row>
    <row r="899" spans="4:4" x14ac:dyDescent="0.35">
      <c r="D899" s="26"/>
    </row>
    <row r="900" spans="4:4" x14ac:dyDescent="0.35">
      <c r="D900" s="26"/>
    </row>
    <row r="901" spans="4:4" x14ac:dyDescent="0.35">
      <c r="D901" s="26"/>
    </row>
    <row r="902" spans="4:4" x14ac:dyDescent="0.35">
      <c r="D902" s="26"/>
    </row>
    <row r="903" spans="4:4" x14ac:dyDescent="0.35">
      <c r="D903" s="26"/>
    </row>
    <row r="904" spans="4:4" x14ac:dyDescent="0.35">
      <c r="D904" s="26"/>
    </row>
    <row r="905" spans="4:4" x14ac:dyDescent="0.35">
      <c r="D905" s="26"/>
    </row>
    <row r="906" spans="4:4" x14ac:dyDescent="0.35">
      <c r="D906" s="26"/>
    </row>
    <row r="907" spans="4:4" x14ac:dyDescent="0.35">
      <c r="D907" s="26"/>
    </row>
    <row r="908" spans="4:4" x14ac:dyDescent="0.35">
      <c r="D908" s="26"/>
    </row>
    <row r="909" spans="4:4" x14ac:dyDescent="0.35">
      <c r="D909" s="26"/>
    </row>
    <row r="910" spans="4:4" x14ac:dyDescent="0.35">
      <c r="D910" s="26"/>
    </row>
    <row r="911" spans="4:4" x14ac:dyDescent="0.35">
      <c r="D911" s="26"/>
    </row>
    <row r="912" spans="4:4" x14ac:dyDescent="0.35">
      <c r="D912" s="26"/>
    </row>
    <row r="913" spans="4:4" x14ac:dyDescent="0.35">
      <c r="D913" s="26"/>
    </row>
    <row r="914" spans="4:4" x14ac:dyDescent="0.35">
      <c r="D914" s="26"/>
    </row>
    <row r="915" spans="4:4" x14ac:dyDescent="0.35">
      <c r="D915" s="26"/>
    </row>
    <row r="916" spans="4:4" x14ac:dyDescent="0.35">
      <c r="D916" s="26"/>
    </row>
    <row r="917" spans="4:4" x14ac:dyDescent="0.35">
      <c r="D917" s="26"/>
    </row>
    <row r="918" spans="4:4" x14ac:dyDescent="0.35">
      <c r="D918" s="26"/>
    </row>
    <row r="919" spans="4:4" x14ac:dyDescent="0.35">
      <c r="D919" s="26"/>
    </row>
    <row r="920" spans="4:4" x14ac:dyDescent="0.35">
      <c r="D920" s="26"/>
    </row>
    <row r="921" spans="4:4" x14ac:dyDescent="0.35">
      <c r="D921" s="26"/>
    </row>
    <row r="922" spans="4:4" x14ac:dyDescent="0.35">
      <c r="D922" s="26"/>
    </row>
    <row r="923" spans="4:4" x14ac:dyDescent="0.35">
      <c r="D923" s="26"/>
    </row>
    <row r="924" spans="4:4" x14ac:dyDescent="0.35">
      <c r="D924" s="26"/>
    </row>
    <row r="925" spans="4:4" x14ac:dyDescent="0.35">
      <c r="D925" s="26"/>
    </row>
    <row r="926" spans="4:4" x14ac:dyDescent="0.35">
      <c r="D926" s="26"/>
    </row>
    <row r="927" spans="4:4" x14ac:dyDescent="0.35">
      <c r="D927" s="26"/>
    </row>
    <row r="928" spans="4:4" x14ac:dyDescent="0.35">
      <c r="D928" s="26"/>
    </row>
    <row r="929" spans="4:4" x14ac:dyDescent="0.35">
      <c r="D929" s="26"/>
    </row>
    <row r="930" spans="4:4" x14ac:dyDescent="0.35">
      <c r="D930" s="26"/>
    </row>
    <row r="931" spans="4:4" x14ac:dyDescent="0.35">
      <c r="D931" s="26"/>
    </row>
    <row r="932" spans="4:4" x14ac:dyDescent="0.35">
      <c r="D932" s="26"/>
    </row>
    <row r="933" spans="4:4" x14ac:dyDescent="0.35">
      <c r="D933" s="26"/>
    </row>
    <row r="934" spans="4:4" x14ac:dyDescent="0.35">
      <c r="D934" s="26"/>
    </row>
    <row r="935" spans="4:4" x14ac:dyDescent="0.35">
      <c r="D935" s="26"/>
    </row>
    <row r="936" spans="4:4" x14ac:dyDescent="0.35">
      <c r="D936" s="26"/>
    </row>
    <row r="937" spans="4:4" x14ac:dyDescent="0.35">
      <c r="D937" s="26"/>
    </row>
    <row r="938" spans="4:4" x14ac:dyDescent="0.35">
      <c r="D938" s="26"/>
    </row>
    <row r="939" spans="4:4" x14ac:dyDescent="0.35">
      <c r="D939" s="26"/>
    </row>
    <row r="940" spans="4:4" x14ac:dyDescent="0.35">
      <c r="D940" s="26"/>
    </row>
    <row r="941" spans="4:4" x14ac:dyDescent="0.35">
      <c r="D941" s="26"/>
    </row>
    <row r="942" spans="4:4" x14ac:dyDescent="0.35">
      <c r="D942" s="26"/>
    </row>
    <row r="943" spans="4:4" x14ac:dyDescent="0.35">
      <c r="D943" s="26"/>
    </row>
    <row r="944" spans="4:4" x14ac:dyDescent="0.35">
      <c r="D944" s="26"/>
    </row>
    <row r="945" spans="4:4" x14ac:dyDescent="0.35">
      <c r="D945" s="26"/>
    </row>
    <row r="946" spans="4:4" x14ac:dyDescent="0.35">
      <c r="D946" s="26"/>
    </row>
    <row r="947" spans="4:4" x14ac:dyDescent="0.35">
      <c r="D947" s="26"/>
    </row>
    <row r="948" spans="4:4" x14ac:dyDescent="0.35">
      <c r="D948" s="26"/>
    </row>
    <row r="949" spans="4:4" x14ac:dyDescent="0.35">
      <c r="D949" s="26"/>
    </row>
    <row r="950" spans="4:4" x14ac:dyDescent="0.35">
      <c r="D950" s="26"/>
    </row>
    <row r="951" spans="4:4" x14ac:dyDescent="0.35">
      <c r="D951" s="26"/>
    </row>
    <row r="952" spans="4:4" x14ac:dyDescent="0.35">
      <c r="D952" s="26"/>
    </row>
    <row r="953" spans="4:4" x14ac:dyDescent="0.35">
      <c r="D953" s="26"/>
    </row>
    <row r="954" spans="4:4" x14ac:dyDescent="0.35">
      <c r="D954" s="26"/>
    </row>
    <row r="955" spans="4:4" x14ac:dyDescent="0.35">
      <c r="D955" s="26"/>
    </row>
    <row r="956" spans="4:4" x14ac:dyDescent="0.35">
      <c r="D956" s="26"/>
    </row>
    <row r="957" spans="4:4" x14ac:dyDescent="0.35">
      <c r="D957" s="26"/>
    </row>
    <row r="958" spans="4:4" x14ac:dyDescent="0.35">
      <c r="D958" s="26"/>
    </row>
    <row r="959" spans="4:4" x14ac:dyDescent="0.35">
      <c r="D959" s="26"/>
    </row>
    <row r="960" spans="4:4" x14ac:dyDescent="0.35">
      <c r="D960" s="26"/>
    </row>
    <row r="961" spans="4:4" x14ac:dyDescent="0.35">
      <c r="D961" s="26"/>
    </row>
    <row r="962" spans="4:4" x14ac:dyDescent="0.35">
      <c r="D962" s="26"/>
    </row>
    <row r="963" spans="4:4" x14ac:dyDescent="0.35">
      <c r="D963" s="26"/>
    </row>
    <row r="964" spans="4:4" x14ac:dyDescent="0.35">
      <c r="D964" s="26"/>
    </row>
    <row r="965" spans="4:4" x14ac:dyDescent="0.35">
      <c r="D965" s="26"/>
    </row>
    <row r="966" spans="4:4" x14ac:dyDescent="0.35">
      <c r="D966" s="26"/>
    </row>
    <row r="967" spans="4:4" x14ac:dyDescent="0.35">
      <c r="D967" s="26"/>
    </row>
    <row r="968" spans="4:4" x14ac:dyDescent="0.35">
      <c r="D968" s="26"/>
    </row>
    <row r="969" spans="4:4" x14ac:dyDescent="0.35">
      <c r="D969" s="26"/>
    </row>
    <row r="970" spans="4:4" x14ac:dyDescent="0.35">
      <c r="D970" s="26"/>
    </row>
    <row r="971" spans="4:4" x14ac:dyDescent="0.35">
      <c r="D971" s="26"/>
    </row>
    <row r="972" spans="4:4" x14ac:dyDescent="0.35">
      <c r="D972" s="26"/>
    </row>
    <row r="973" spans="4:4" x14ac:dyDescent="0.35">
      <c r="D973" s="26"/>
    </row>
    <row r="974" spans="4:4" x14ac:dyDescent="0.35">
      <c r="D974" s="26"/>
    </row>
    <row r="975" spans="4:4" x14ac:dyDescent="0.35">
      <c r="D975" s="26"/>
    </row>
    <row r="976" spans="4:4" x14ac:dyDescent="0.35">
      <c r="D976" s="26"/>
    </row>
    <row r="977" spans="4:4" x14ac:dyDescent="0.35">
      <c r="D977" s="26"/>
    </row>
    <row r="978" spans="4:4" x14ac:dyDescent="0.35">
      <c r="D978" s="26"/>
    </row>
    <row r="979" spans="4:4" x14ac:dyDescent="0.35">
      <c r="D979" s="26"/>
    </row>
    <row r="980" spans="4:4" x14ac:dyDescent="0.35">
      <c r="D980" s="26"/>
    </row>
    <row r="981" spans="4:4" x14ac:dyDescent="0.35">
      <c r="D981" s="26"/>
    </row>
    <row r="982" spans="4:4" x14ac:dyDescent="0.35">
      <c r="D982" s="26"/>
    </row>
    <row r="983" spans="4:4" x14ac:dyDescent="0.35">
      <c r="D983" s="26"/>
    </row>
    <row r="984" spans="4:4" x14ac:dyDescent="0.35">
      <c r="D984" s="26"/>
    </row>
    <row r="985" spans="4:4" x14ac:dyDescent="0.35">
      <c r="D985" s="26"/>
    </row>
    <row r="986" spans="4:4" x14ac:dyDescent="0.35">
      <c r="D986" s="26"/>
    </row>
    <row r="987" spans="4:4" x14ac:dyDescent="0.35">
      <c r="D987" s="26"/>
    </row>
    <row r="988" spans="4:4" x14ac:dyDescent="0.35">
      <c r="D988" s="26"/>
    </row>
    <row r="989" spans="4:4" x14ac:dyDescent="0.35">
      <c r="D989" s="26"/>
    </row>
    <row r="990" spans="4:4" x14ac:dyDescent="0.35">
      <c r="D990" s="26"/>
    </row>
    <row r="991" spans="4:4" x14ac:dyDescent="0.35">
      <c r="D991" s="26"/>
    </row>
    <row r="992" spans="4:4" x14ac:dyDescent="0.35">
      <c r="D992" s="26"/>
    </row>
    <row r="993" spans="4:4" x14ac:dyDescent="0.35">
      <c r="D993" s="26"/>
    </row>
    <row r="994" spans="4:4" x14ac:dyDescent="0.35">
      <c r="D994" s="26"/>
    </row>
    <row r="995" spans="4:4" x14ac:dyDescent="0.35">
      <c r="D995" s="26"/>
    </row>
    <row r="996" spans="4:4" x14ac:dyDescent="0.35">
      <c r="D996" s="26"/>
    </row>
    <row r="997" spans="4:4" x14ac:dyDescent="0.35">
      <c r="D997" s="26"/>
    </row>
    <row r="998" spans="4:4" x14ac:dyDescent="0.35">
      <c r="D998" s="26"/>
    </row>
    <row r="999" spans="4:4" x14ac:dyDescent="0.35">
      <c r="D999" s="26"/>
    </row>
    <row r="1000" spans="4:4" x14ac:dyDescent="0.35">
      <c r="D1000" s="26"/>
    </row>
    <row r="1001" spans="4:4" x14ac:dyDescent="0.35">
      <c r="D1001" s="26"/>
    </row>
    <row r="1002" spans="4:4" x14ac:dyDescent="0.35">
      <c r="D1002" s="26"/>
    </row>
    <row r="1003" spans="4:4" x14ac:dyDescent="0.35">
      <c r="D1003" s="26"/>
    </row>
    <row r="1004" spans="4:4" x14ac:dyDescent="0.35">
      <c r="D1004" s="26"/>
    </row>
    <row r="1005" spans="4:4" x14ac:dyDescent="0.35">
      <c r="D1005" s="26"/>
    </row>
    <row r="1006" spans="4:4" x14ac:dyDescent="0.35">
      <c r="D1006" s="26"/>
    </row>
    <row r="1007" spans="4:4" x14ac:dyDescent="0.35">
      <c r="D1007" s="26"/>
    </row>
    <row r="1008" spans="4:4" x14ac:dyDescent="0.35">
      <c r="D1008" s="26"/>
    </row>
    <row r="1009" spans="4:4" x14ac:dyDescent="0.35">
      <c r="D1009" s="26"/>
    </row>
    <row r="1010" spans="4:4" x14ac:dyDescent="0.35">
      <c r="D1010" s="26"/>
    </row>
    <row r="1011" spans="4:4" x14ac:dyDescent="0.35">
      <c r="D1011" s="26"/>
    </row>
    <row r="1012" spans="4:4" x14ac:dyDescent="0.35">
      <c r="D1012" s="26"/>
    </row>
    <row r="1013" spans="4:4" x14ac:dyDescent="0.35">
      <c r="D1013" s="26"/>
    </row>
    <row r="1014" spans="4:4" x14ac:dyDescent="0.35">
      <c r="D1014" s="26"/>
    </row>
    <row r="1015" spans="4:4" x14ac:dyDescent="0.35">
      <c r="D1015" s="26"/>
    </row>
    <row r="1016" spans="4:4" x14ac:dyDescent="0.35">
      <c r="D1016" s="26"/>
    </row>
    <row r="1017" spans="4:4" x14ac:dyDescent="0.35">
      <c r="D1017" s="26"/>
    </row>
    <row r="1018" spans="4:4" x14ac:dyDescent="0.35">
      <c r="D1018" s="26"/>
    </row>
    <row r="1019" spans="4:4" x14ac:dyDescent="0.35">
      <c r="D1019" s="26"/>
    </row>
    <row r="1020" spans="4:4" x14ac:dyDescent="0.35">
      <c r="D1020" s="26"/>
    </row>
    <row r="1021" spans="4:4" x14ac:dyDescent="0.35">
      <c r="D1021" s="26"/>
    </row>
    <row r="1022" spans="4:4" x14ac:dyDescent="0.35">
      <c r="D1022" s="26"/>
    </row>
    <row r="1023" spans="4:4" x14ac:dyDescent="0.35">
      <c r="D1023" s="26"/>
    </row>
    <row r="1024" spans="4:4" x14ac:dyDescent="0.35">
      <c r="D1024" s="26"/>
    </row>
    <row r="1025" spans="4:4" x14ac:dyDescent="0.35">
      <c r="D1025" s="26"/>
    </row>
    <row r="1026" spans="4:4" x14ac:dyDescent="0.35">
      <c r="D1026" s="26"/>
    </row>
    <row r="1027" spans="4:4" x14ac:dyDescent="0.35">
      <c r="D1027" s="26"/>
    </row>
    <row r="1028" spans="4:4" x14ac:dyDescent="0.35">
      <c r="D1028" s="26"/>
    </row>
    <row r="1029" spans="4:4" x14ac:dyDescent="0.35">
      <c r="D1029" s="26"/>
    </row>
    <row r="1030" spans="4:4" x14ac:dyDescent="0.35">
      <c r="D1030" s="26"/>
    </row>
    <row r="1031" spans="4:4" x14ac:dyDescent="0.35">
      <c r="D1031" s="26"/>
    </row>
    <row r="1032" spans="4:4" x14ac:dyDescent="0.35">
      <c r="D1032" s="26"/>
    </row>
    <row r="1033" spans="4:4" x14ac:dyDescent="0.35">
      <c r="D1033" s="26"/>
    </row>
    <row r="1034" spans="4:4" x14ac:dyDescent="0.35">
      <c r="D1034" s="26"/>
    </row>
    <row r="1035" spans="4:4" x14ac:dyDescent="0.35">
      <c r="D1035" s="26"/>
    </row>
    <row r="1036" spans="4:4" x14ac:dyDescent="0.35">
      <c r="D1036" s="26"/>
    </row>
    <row r="1037" spans="4:4" x14ac:dyDescent="0.35">
      <c r="D1037" s="26"/>
    </row>
    <row r="1038" spans="4:4" x14ac:dyDescent="0.35">
      <c r="D1038" s="26"/>
    </row>
    <row r="1039" spans="4:4" x14ac:dyDescent="0.35">
      <c r="D1039" s="26"/>
    </row>
    <row r="1040" spans="4:4" x14ac:dyDescent="0.35">
      <c r="D1040" s="26"/>
    </row>
    <row r="1041" spans="4:4" x14ac:dyDescent="0.35">
      <c r="D1041" s="26"/>
    </row>
    <row r="1042" spans="4:4" x14ac:dyDescent="0.35">
      <c r="D1042" s="26"/>
    </row>
    <row r="1043" spans="4:4" x14ac:dyDescent="0.35">
      <c r="D1043" s="26"/>
    </row>
    <row r="1044" spans="4:4" x14ac:dyDescent="0.35">
      <c r="D1044" s="26"/>
    </row>
    <row r="1045" spans="4:4" x14ac:dyDescent="0.35">
      <c r="D1045" s="26"/>
    </row>
    <row r="1046" spans="4:4" x14ac:dyDescent="0.35">
      <c r="D1046" s="26"/>
    </row>
    <row r="1047" spans="4:4" x14ac:dyDescent="0.35">
      <c r="D1047" s="26"/>
    </row>
    <row r="1048" spans="4:4" x14ac:dyDescent="0.35">
      <c r="D1048" s="26"/>
    </row>
    <row r="1049" spans="4:4" x14ac:dyDescent="0.35">
      <c r="D1049" s="26"/>
    </row>
    <row r="1050" spans="4:4" x14ac:dyDescent="0.35">
      <c r="D1050" s="26"/>
    </row>
    <row r="1051" spans="4:4" x14ac:dyDescent="0.35">
      <c r="D1051" s="26"/>
    </row>
    <row r="1052" spans="4:4" x14ac:dyDescent="0.35">
      <c r="D1052" s="26"/>
    </row>
    <row r="1053" spans="4:4" x14ac:dyDescent="0.35">
      <c r="D1053" s="26"/>
    </row>
    <row r="1054" spans="4:4" x14ac:dyDescent="0.35">
      <c r="D1054" s="26"/>
    </row>
    <row r="1055" spans="4:4" x14ac:dyDescent="0.35">
      <c r="D1055" s="26"/>
    </row>
    <row r="1056" spans="4:4" x14ac:dyDescent="0.35">
      <c r="D1056" s="26"/>
    </row>
    <row r="1057" spans="4:4" x14ac:dyDescent="0.35">
      <c r="D1057" s="26"/>
    </row>
    <row r="1058" spans="4:4" x14ac:dyDescent="0.35">
      <c r="D1058" s="26"/>
    </row>
    <row r="1059" spans="4:4" x14ac:dyDescent="0.35">
      <c r="D1059" s="26"/>
    </row>
    <row r="1060" spans="4:4" x14ac:dyDescent="0.35">
      <c r="D1060" s="26"/>
    </row>
    <row r="1061" spans="4:4" x14ac:dyDescent="0.35">
      <c r="D1061" s="26"/>
    </row>
    <row r="1062" spans="4:4" x14ac:dyDescent="0.35">
      <c r="D1062" s="26"/>
    </row>
    <row r="1063" spans="4:4" x14ac:dyDescent="0.35">
      <c r="D1063" s="26"/>
    </row>
    <row r="1064" spans="4:4" x14ac:dyDescent="0.35">
      <c r="D1064" s="26"/>
    </row>
    <row r="1065" spans="4:4" x14ac:dyDescent="0.35">
      <c r="D1065" s="26"/>
    </row>
    <row r="1066" spans="4:4" x14ac:dyDescent="0.35">
      <c r="D1066" s="26"/>
    </row>
    <row r="1067" spans="4:4" x14ac:dyDescent="0.35">
      <c r="D1067" s="26"/>
    </row>
    <row r="1068" spans="4:4" x14ac:dyDescent="0.35">
      <c r="D1068" s="26"/>
    </row>
    <row r="1069" spans="4:4" x14ac:dyDescent="0.35">
      <c r="D1069" s="26"/>
    </row>
    <row r="1070" spans="4:4" x14ac:dyDescent="0.35">
      <c r="D1070" s="26"/>
    </row>
    <row r="1071" spans="4:4" x14ac:dyDescent="0.35">
      <c r="D1071" s="26"/>
    </row>
    <row r="1072" spans="4:4" x14ac:dyDescent="0.35">
      <c r="D1072" s="26"/>
    </row>
    <row r="1073" spans="4:4" x14ac:dyDescent="0.35">
      <c r="D1073" s="26"/>
    </row>
    <row r="1074" spans="4:4" x14ac:dyDescent="0.35">
      <c r="D1074" s="26"/>
    </row>
    <row r="1075" spans="4:4" x14ac:dyDescent="0.35">
      <c r="D1075" s="26"/>
    </row>
    <row r="1076" spans="4:4" x14ac:dyDescent="0.35">
      <c r="D1076" s="26"/>
    </row>
    <row r="1077" spans="4:4" x14ac:dyDescent="0.35">
      <c r="D1077" s="26"/>
    </row>
    <row r="1078" spans="4:4" x14ac:dyDescent="0.35">
      <c r="D1078" s="26"/>
    </row>
    <row r="1079" spans="4:4" x14ac:dyDescent="0.35">
      <c r="D1079" s="26"/>
    </row>
    <row r="1080" spans="4:4" x14ac:dyDescent="0.35">
      <c r="D1080" s="26"/>
    </row>
    <row r="1081" spans="4:4" x14ac:dyDescent="0.35">
      <c r="D1081" s="26"/>
    </row>
    <row r="1082" spans="4:4" x14ac:dyDescent="0.35">
      <c r="D1082" s="26"/>
    </row>
    <row r="1083" spans="4:4" x14ac:dyDescent="0.35">
      <c r="D1083" s="26"/>
    </row>
    <row r="1084" spans="4:4" x14ac:dyDescent="0.35">
      <c r="D1084" s="26"/>
    </row>
    <row r="1085" spans="4:4" x14ac:dyDescent="0.35">
      <c r="D1085" s="26"/>
    </row>
    <row r="1086" spans="4:4" x14ac:dyDescent="0.35">
      <c r="D1086" s="26"/>
    </row>
    <row r="1087" spans="4:4" x14ac:dyDescent="0.35">
      <c r="D1087" s="26"/>
    </row>
    <row r="1088" spans="4:4" x14ac:dyDescent="0.35">
      <c r="D1088" s="26"/>
    </row>
    <row r="1089" spans="4:4" x14ac:dyDescent="0.35">
      <c r="D1089" s="26"/>
    </row>
    <row r="1090" spans="4:4" x14ac:dyDescent="0.35">
      <c r="D1090" s="26"/>
    </row>
    <row r="1091" spans="4:4" x14ac:dyDescent="0.35">
      <c r="D1091" s="26"/>
    </row>
    <row r="1092" spans="4:4" x14ac:dyDescent="0.35">
      <c r="D1092" s="26"/>
    </row>
    <row r="1093" spans="4:4" x14ac:dyDescent="0.35">
      <c r="D1093" s="26"/>
    </row>
    <row r="1094" spans="4:4" x14ac:dyDescent="0.35">
      <c r="D1094" s="26"/>
    </row>
    <row r="1095" spans="4:4" x14ac:dyDescent="0.35">
      <c r="D1095" s="26"/>
    </row>
    <row r="1096" spans="4:4" x14ac:dyDescent="0.35">
      <c r="D1096" s="26"/>
    </row>
    <row r="1097" spans="4:4" x14ac:dyDescent="0.35">
      <c r="D1097" s="26"/>
    </row>
    <row r="1098" spans="4:4" x14ac:dyDescent="0.35">
      <c r="D1098" s="26"/>
    </row>
    <row r="1099" spans="4:4" x14ac:dyDescent="0.35">
      <c r="D1099" s="26"/>
    </row>
    <row r="1100" spans="4:4" x14ac:dyDescent="0.35">
      <c r="D1100" s="26"/>
    </row>
    <row r="1101" spans="4:4" x14ac:dyDescent="0.35">
      <c r="D1101" s="26"/>
    </row>
    <row r="1102" spans="4:4" x14ac:dyDescent="0.35">
      <c r="D1102" s="26"/>
    </row>
    <row r="1103" spans="4:4" x14ac:dyDescent="0.35">
      <c r="D1103" s="26"/>
    </row>
    <row r="1104" spans="4:4" x14ac:dyDescent="0.35">
      <c r="D1104" s="26"/>
    </row>
    <row r="1105" spans="4:4" x14ac:dyDescent="0.35">
      <c r="D1105" s="26"/>
    </row>
    <row r="1106" spans="4:4" x14ac:dyDescent="0.35">
      <c r="D1106" s="26"/>
    </row>
    <row r="1107" spans="4:4" x14ac:dyDescent="0.35">
      <c r="D1107" s="26"/>
    </row>
    <row r="1108" spans="4:4" x14ac:dyDescent="0.35">
      <c r="D1108" s="26"/>
    </row>
    <row r="1109" spans="4:4" x14ac:dyDescent="0.35">
      <c r="D1109" s="26"/>
    </row>
    <row r="1110" spans="4:4" x14ac:dyDescent="0.35">
      <c r="D1110" s="26"/>
    </row>
    <row r="1111" spans="4:4" x14ac:dyDescent="0.35">
      <c r="D1111" s="26"/>
    </row>
    <row r="1112" spans="4:4" x14ac:dyDescent="0.35">
      <c r="D1112" s="26"/>
    </row>
    <row r="1113" spans="4:4" x14ac:dyDescent="0.35">
      <c r="D1113" s="26"/>
    </row>
    <row r="1114" spans="4:4" x14ac:dyDescent="0.35">
      <c r="D1114" s="26"/>
    </row>
    <row r="1115" spans="4:4" x14ac:dyDescent="0.35">
      <c r="D1115" s="26"/>
    </row>
    <row r="1116" spans="4:4" x14ac:dyDescent="0.35">
      <c r="D1116" s="26"/>
    </row>
    <row r="1117" spans="4:4" x14ac:dyDescent="0.35">
      <c r="D1117" s="26"/>
    </row>
    <row r="1118" spans="4:4" x14ac:dyDescent="0.35">
      <c r="D1118" s="26"/>
    </row>
    <row r="1119" spans="4:4" x14ac:dyDescent="0.35">
      <c r="D1119" s="26"/>
    </row>
    <row r="1120" spans="4:4" x14ac:dyDescent="0.35">
      <c r="D1120" s="26"/>
    </row>
    <row r="1121" spans="4:4" x14ac:dyDescent="0.35">
      <c r="D1121" s="26"/>
    </row>
    <row r="1122" spans="4:4" x14ac:dyDescent="0.35">
      <c r="D1122" s="26"/>
    </row>
    <row r="1123" spans="4:4" x14ac:dyDescent="0.35">
      <c r="D1123" s="26"/>
    </row>
    <row r="1124" spans="4:4" x14ac:dyDescent="0.35">
      <c r="D1124" s="26"/>
    </row>
    <row r="1125" spans="4:4" x14ac:dyDescent="0.35">
      <c r="D1125" s="26"/>
    </row>
    <row r="1126" spans="4:4" x14ac:dyDescent="0.35">
      <c r="D1126" s="26"/>
    </row>
    <row r="1127" spans="4:4" x14ac:dyDescent="0.35">
      <c r="D1127" s="26"/>
    </row>
    <row r="1128" spans="4:4" x14ac:dyDescent="0.35">
      <c r="D1128" s="26"/>
    </row>
    <row r="1129" spans="4:4" x14ac:dyDescent="0.35">
      <c r="D1129" s="26"/>
    </row>
    <row r="1130" spans="4:4" x14ac:dyDescent="0.35">
      <c r="D1130" s="26"/>
    </row>
    <row r="1131" spans="4:4" x14ac:dyDescent="0.35">
      <c r="D1131" s="26"/>
    </row>
    <row r="1132" spans="4:4" x14ac:dyDescent="0.35">
      <c r="D1132" s="26"/>
    </row>
    <row r="1133" spans="4:4" x14ac:dyDescent="0.35">
      <c r="D1133" s="26"/>
    </row>
    <row r="1134" spans="4:4" x14ac:dyDescent="0.35">
      <c r="D1134" s="26"/>
    </row>
    <row r="1135" spans="4:4" x14ac:dyDescent="0.35">
      <c r="D1135" s="26"/>
    </row>
    <row r="1136" spans="4:4" x14ac:dyDescent="0.35">
      <c r="D1136" s="26"/>
    </row>
    <row r="1137" spans="4:4" x14ac:dyDescent="0.35">
      <c r="D1137" s="26"/>
    </row>
    <row r="1138" spans="4:4" x14ac:dyDescent="0.35">
      <c r="D1138" s="26"/>
    </row>
    <row r="1139" spans="4:4" x14ac:dyDescent="0.35">
      <c r="D1139" s="26"/>
    </row>
    <row r="1140" spans="4:4" x14ac:dyDescent="0.35">
      <c r="D1140" s="26"/>
    </row>
    <row r="1141" spans="4:4" x14ac:dyDescent="0.35">
      <c r="D1141" s="26"/>
    </row>
    <row r="1142" spans="4:4" x14ac:dyDescent="0.35">
      <c r="D1142" s="26"/>
    </row>
    <row r="1143" spans="4:4" x14ac:dyDescent="0.35">
      <c r="D1143" s="26"/>
    </row>
    <row r="1144" spans="4:4" x14ac:dyDescent="0.35">
      <c r="D1144" s="26"/>
    </row>
    <row r="1145" spans="4:4" x14ac:dyDescent="0.35">
      <c r="D1145" s="26"/>
    </row>
    <row r="1146" spans="4:4" x14ac:dyDescent="0.35">
      <c r="D1146" s="26"/>
    </row>
    <row r="1147" spans="4:4" x14ac:dyDescent="0.35">
      <c r="D1147" s="26"/>
    </row>
    <row r="1148" spans="4:4" x14ac:dyDescent="0.35">
      <c r="D1148" s="26"/>
    </row>
    <row r="1149" spans="4:4" x14ac:dyDescent="0.35">
      <c r="D1149" s="26"/>
    </row>
    <row r="1150" spans="4:4" x14ac:dyDescent="0.35">
      <c r="D1150" s="26"/>
    </row>
    <row r="1151" spans="4:4" x14ac:dyDescent="0.35">
      <c r="D1151" s="26"/>
    </row>
    <row r="1152" spans="4:4" x14ac:dyDescent="0.35">
      <c r="D1152" s="26"/>
    </row>
    <row r="1153" spans="4:4" x14ac:dyDescent="0.35">
      <c r="D1153" s="26"/>
    </row>
    <row r="1154" spans="4:4" x14ac:dyDescent="0.35">
      <c r="D1154" s="26"/>
    </row>
    <row r="1155" spans="4:4" x14ac:dyDescent="0.35">
      <c r="D1155" s="26"/>
    </row>
    <row r="1156" spans="4:4" x14ac:dyDescent="0.35">
      <c r="D1156" s="26"/>
    </row>
    <row r="1157" spans="4:4" x14ac:dyDescent="0.35">
      <c r="D1157" s="26"/>
    </row>
    <row r="1158" spans="4:4" x14ac:dyDescent="0.35">
      <c r="D1158" s="26"/>
    </row>
    <row r="1159" spans="4:4" x14ac:dyDescent="0.35">
      <c r="D1159" s="26"/>
    </row>
    <row r="1160" spans="4:4" x14ac:dyDescent="0.35">
      <c r="D1160" s="26"/>
    </row>
    <row r="1161" spans="4:4" x14ac:dyDescent="0.35">
      <c r="D1161" s="26"/>
    </row>
    <row r="1162" spans="4:4" x14ac:dyDescent="0.35">
      <c r="D1162" s="26"/>
    </row>
    <row r="1163" spans="4:4" x14ac:dyDescent="0.35">
      <c r="D1163" s="26"/>
    </row>
    <row r="1164" spans="4:4" x14ac:dyDescent="0.35">
      <c r="D1164" s="26"/>
    </row>
    <row r="1165" spans="4:4" x14ac:dyDescent="0.35">
      <c r="D1165" s="26"/>
    </row>
    <row r="1166" spans="4:4" x14ac:dyDescent="0.35">
      <c r="D1166" s="26"/>
    </row>
    <row r="1167" spans="4:4" x14ac:dyDescent="0.35">
      <c r="D1167" s="26"/>
    </row>
    <row r="1168" spans="4:4" x14ac:dyDescent="0.35">
      <c r="D1168" s="26"/>
    </row>
    <row r="1169" spans="4:4" x14ac:dyDescent="0.35">
      <c r="D1169" s="26"/>
    </row>
    <row r="1170" spans="4:4" x14ac:dyDescent="0.35">
      <c r="D1170" s="26"/>
    </row>
    <row r="1171" spans="4:4" x14ac:dyDescent="0.35">
      <c r="D1171" s="26"/>
    </row>
    <row r="1172" spans="4:4" x14ac:dyDescent="0.35">
      <c r="D1172" s="26"/>
    </row>
    <row r="1173" spans="4:4" x14ac:dyDescent="0.35">
      <c r="D1173" s="26"/>
    </row>
    <row r="1174" spans="4:4" x14ac:dyDescent="0.35">
      <c r="D1174" s="26"/>
    </row>
    <row r="1175" spans="4:4" x14ac:dyDescent="0.35">
      <c r="D1175" s="26"/>
    </row>
    <row r="1176" spans="4:4" x14ac:dyDescent="0.35">
      <c r="D1176" s="26"/>
    </row>
    <row r="1177" spans="4:4" x14ac:dyDescent="0.35">
      <c r="D1177" s="26"/>
    </row>
    <row r="1178" spans="4:4" x14ac:dyDescent="0.35">
      <c r="D1178" s="26"/>
    </row>
    <row r="1179" spans="4:4" x14ac:dyDescent="0.35">
      <c r="D1179" s="26"/>
    </row>
    <row r="1180" spans="4:4" x14ac:dyDescent="0.35">
      <c r="D1180" s="26"/>
    </row>
    <row r="1181" spans="4:4" x14ac:dyDescent="0.35">
      <c r="D1181" s="26"/>
    </row>
    <row r="1182" spans="4:4" x14ac:dyDescent="0.35">
      <c r="D1182" s="26"/>
    </row>
    <row r="1183" spans="4:4" x14ac:dyDescent="0.35">
      <c r="D1183" s="26"/>
    </row>
    <row r="1184" spans="4:4" x14ac:dyDescent="0.35">
      <c r="D1184" s="26"/>
    </row>
    <row r="1185" spans="4:4" x14ac:dyDescent="0.35">
      <c r="D1185" s="26"/>
    </row>
    <row r="1186" spans="4:4" x14ac:dyDescent="0.35">
      <c r="D1186" s="26"/>
    </row>
    <row r="1187" spans="4:4" x14ac:dyDescent="0.35">
      <c r="D1187" s="26"/>
    </row>
    <row r="1188" spans="4:4" x14ac:dyDescent="0.35">
      <c r="D1188" s="26"/>
    </row>
    <row r="1189" spans="4:4" x14ac:dyDescent="0.35">
      <c r="D1189" s="26"/>
    </row>
    <row r="1190" spans="4:4" x14ac:dyDescent="0.35">
      <c r="D1190" s="26"/>
    </row>
    <row r="1191" spans="4:4" x14ac:dyDescent="0.35">
      <c r="D1191" s="26"/>
    </row>
    <row r="1192" spans="4:4" x14ac:dyDescent="0.35">
      <c r="D1192" s="26"/>
    </row>
    <row r="1193" spans="4:4" x14ac:dyDescent="0.35">
      <c r="D1193" s="26"/>
    </row>
    <row r="1194" spans="4:4" x14ac:dyDescent="0.35">
      <c r="D1194" s="26"/>
    </row>
    <row r="1195" spans="4:4" x14ac:dyDescent="0.35">
      <c r="D1195" s="26"/>
    </row>
    <row r="1196" spans="4:4" x14ac:dyDescent="0.35">
      <c r="D1196" s="26"/>
    </row>
    <row r="1197" spans="4:4" x14ac:dyDescent="0.35">
      <c r="D1197" s="26"/>
    </row>
    <row r="1198" spans="4:4" x14ac:dyDescent="0.35">
      <c r="D1198" s="26"/>
    </row>
    <row r="1199" spans="4:4" x14ac:dyDescent="0.35">
      <c r="D1199" s="26"/>
    </row>
    <row r="1200" spans="4:4" x14ac:dyDescent="0.35">
      <c r="D1200" s="26"/>
    </row>
    <row r="1201" spans="4:4" x14ac:dyDescent="0.35">
      <c r="D1201" s="26"/>
    </row>
    <row r="1202" spans="4:4" x14ac:dyDescent="0.35">
      <c r="D1202" s="26"/>
    </row>
    <row r="1203" spans="4:4" x14ac:dyDescent="0.35">
      <c r="D1203" s="26"/>
    </row>
    <row r="1204" spans="4:4" x14ac:dyDescent="0.35">
      <c r="D1204" s="26"/>
    </row>
    <row r="1205" spans="4:4" x14ac:dyDescent="0.35">
      <c r="D1205" s="26"/>
    </row>
    <row r="1206" spans="4:4" x14ac:dyDescent="0.35">
      <c r="D1206" s="26"/>
    </row>
    <row r="1207" spans="4:4" x14ac:dyDescent="0.35">
      <c r="D1207" s="26"/>
    </row>
    <row r="1208" spans="4:4" x14ac:dyDescent="0.35">
      <c r="D1208" s="26"/>
    </row>
    <row r="1209" spans="4:4" x14ac:dyDescent="0.35">
      <c r="D1209" s="26"/>
    </row>
    <row r="1210" spans="4:4" x14ac:dyDescent="0.35">
      <c r="D1210" s="26"/>
    </row>
    <row r="1211" spans="4:4" x14ac:dyDescent="0.35">
      <c r="D1211" s="26"/>
    </row>
    <row r="1212" spans="4:4" x14ac:dyDescent="0.35">
      <c r="D1212" s="26"/>
    </row>
    <row r="1213" spans="4:4" x14ac:dyDescent="0.35">
      <c r="D1213" s="26"/>
    </row>
    <row r="1214" spans="4:4" x14ac:dyDescent="0.35">
      <c r="D1214" s="26"/>
    </row>
    <row r="1215" spans="4:4" x14ac:dyDescent="0.35">
      <c r="D1215" s="26"/>
    </row>
    <row r="1216" spans="4:4" x14ac:dyDescent="0.35">
      <c r="D1216" s="26"/>
    </row>
    <row r="1217" spans="4:4" x14ac:dyDescent="0.35">
      <c r="D1217" s="26"/>
    </row>
    <row r="1218" spans="4:4" x14ac:dyDescent="0.35">
      <c r="D1218" s="26"/>
    </row>
    <row r="1219" spans="4:4" x14ac:dyDescent="0.35">
      <c r="D1219" s="26"/>
    </row>
    <row r="1220" spans="4:4" x14ac:dyDescent="0.35">
      <c r="D1220" s="26"/>
    </row>
    <row r="1221" spans="4:4" x14ac:dyDescent="0.35">
      <c r="D1221" s="26"/>
    </row>
    <row r="1222" spans="4:4" x14ac:dyDescent="0.35">
      <c r="D1222" s="26"/>
    </row>
    <row r="1223" spans="4:4" x14ac:dyDescent="0.35">
      <c r="D1223" s="26"/>
    </row>
    <row r="1224" spans="4:4" x14ac:dyDescent="0.35">
      <c r="D1224" s="26"/>
    </row>
    <row r="1225" spans="4:4" x14ac:dyDescent="0.35">
      <c r="D1225" s="26"/>
    </row>
    <row r="1226" spans="4:4" x14ac:dyDescent="0.35">
      <c r="D1226" s="26"/>
    </row>
    <row r="1227" spans="4:4" x14ac:dyDescent="0.35">
      <c r="D1227" s="26"/>
    </row>
    <row r="1228" spans="4:4" x14ac:dyDescent="0.35">
      <c r="D1228" s="26"/>
    </row>
    <row r="1229" spans="4:4" x14ac:dyDescent="0.35">
      <c r="D1229" s="26"/>
    </row>
    <row r="1230" spans="4:4" x14ac:dyDescent="0.35">
      <c r="D1230" s="26"/>
    </row>
    <row r="1231" spans="4:4" x14ac:dyDescent="0.35">
      <c r="D1231" s="26"/>
    </row>
    <row r="1232" spans="4:4" x14ac:dyDescent="0.35">
      <c r="D1232" s="26"/>
    </row>
    <row r="1233" spans="4:4" x14ac:dyDescent="0.35">
      <c r="D1233" s="26"/>
    </row>
    <row r="1234" spans="4:4" x14ac:dyDescent="0.35">
      <c r="D1234" s="26"/>
    </row>
    <row r="1235" spans="4:4" x14ac:dyDescent="0.35">
      <c r="D1235" s="26"/>
    </row>
    <row r="1236" spans="4:4" x14ac:dyDescent="0.35">
      <c r="D1236" s="26"/>
    </row>
    <row r="1237" spans="4:4" x14ac:dyDescent="0.35">
      <c r="D1237" s="26"/>
    </row>
    <row r="1238" spans="4:4" x14ac:dyDescent="0.35">
      <c r="D1238" s="26"/>
    </row>
    <row r="1239" spans="4:4" x14ac:dyDescent="0.35">
      <c r="D1239" s="26"/>
    </row>
    <row r="1240" spans="4:4" x14ac:dyDescent="0.35">
      <c r="D1240" s="26"/>
    </row>
    <row r="1241" spans="4:4" x14ac:dyDescent="0.35">
      <c r="D1241" s="26"/>
    </row>
    <row r="1242" spans="4:4" x14ac:dyDescent="0.35">
      <c r="D1242" s="26"/>
    </row>
    <row r="1243" spans="4:4" x14ac:dyDescent="0.35">
      <c r="D1243" s="26"/>
    </row>
    <row r="1244" spans="4:4" x14ac:dyDescent="0.35">
      <c r="D1244" s="26"/>
    </row>
    <row r="1245" spans="4:4" x14ac:dyDescent="0.35">
      <c r="D1245" s="26"/>
    </row>
    <row r="1246" spans="4:4" x14ac:dyDescent="0.35">
      <c r="D1246" s="26"/>
    </row>
    <row r="1247" spans="4:4" x14ac:dyDescent="0.35">
      <c r="D1247" s="26"/>
    </row>
    <row r="1248" spans="4:4" x14ac:dyDescent="0.35">
      <c r="D1248" s="26"/>
    </row>
    <row r="1249" spans="4:4" x14ac:dyDescent="0.35">
      <c r="D1249" s="26"/>
    </row>
    <row r="1250" spans="4:4" x14ac:dyDescent="0.35">
      <c r="D1250" s="26"/>
    </row>
    <row r="1251" spans="4:4" x14ac:dyDescent="0.35">
      <c r="D1251" s="26"/>
    </row>
    <row r="1252" spans="4:4" x14ac:dyDescent="0.35">
      <c r="D1252" s="26"/>
    </row>
    <row r="1253" spans="4:4" x14ac:dyDescent="0.35">
      <c r="D1253" s="26"/>
    </row>
    <row r="1254" spans="4:4" x14ac:dyDescent="0.35">
      <c r="D1254" s="26"/>
    </row>
    <row r="1255" spans="4:4" x14ac:dyDescent="0.35">
      <c r="D1255" s="26"/>
    </row>
    <row r="1256" spans="4:4" x14ac:dyDescent="0.35">
      <c r="D1256" s="26"/>
    </row>
    <row r="1257" spans="4:4" x14ac:dyDescent="0.35">
      <c r="D1257" s="26"/>
    </row>
    <row r="1258" spans="4:4" x14ac:dyDescent="0.35">
      <c r="D1258" s="26"/>
    </row>
    <row r="1259" spans="4:4" x14ac:dyDescent="0.35">
      <c r="D1259" s="26"/>
    </row>
    <row r="1260" spans="4:4" x14ac:dyDescent="0.35">
      <c r="D1260" s="26"/>
    </row>
    <row r="1261" spans="4:4" x14ac:dyDescent="0.35">
      <c r="D1261" s="26"/>
    </row>
    <row r="1262" spans="4:4" x14ac:dyDescent="0.35">
      <c r="D1262" s="26"/>
    </row>
    <row r="1263" spans="4:4" x14ac:dyDescent="0.35">
      <c r="D1263" s="26"/>
    </row>
    <row r="1264" spans="4:4" x14ac:dyDescent="0.35">
      <c r="D1264" s="26"/>
    </row>
    <row r="1265" spans="4:4" x14ac:dyDescent="0.35">
      <c r="D1265" s="26"/>
    </row>
    <row r="1266" spans="4:4" x14ac:dyDescent="0.35">
      <c r="D1266" s="26"/>
    </row>
    <row r="1267" spans="4:4" x14ac:dyDescent="0.35">
      <c r="D1267" s="26"/>
    </row>
    <row r="1268" spans="4:4" x14ac:dyDescent="0.35">
      <c r="D1268" s="26"/>
    </row>
    <row r="1269" spans="4:4" x14ac:dyDescent="0.35">
      <c r="D1269" s="26"/>
    </row>
    <row r="1270" spans="4:4" x14ac:dyDescent="0.35">
      <c r="D1270" s="26"/>
    </row>
    <row r="1271" spans="4:4" x14ac:dyDescent="0.35">
      <c r="D1271" s="26"/>
    </row>
    <row r="1272" spans="4:4" x14ac:dyDescent="0.35">
      <c r="D1272" s="26"/>
    </row>
    <row r="1273" spans="4:4" x14ac:dyDescent="0.35">
      <c r="D1273" s="26"/>
    </row>
    <row r="1274" spans="4:4" x14ac:dyDescent="0.35">
      <c r="D1274" s="26"/>
    </row>
    <row r="1275" spans="4:4" x14ac:dyDescent="0.35">
      <c r="D1275" s="26"/>
    </row>
    <row r="1276" spans="4:4" x14ac:dyDescent="0.35">
      <c r="D1276" s="26"/>
    </row>
    <row r="1277" spans="4:4" x14ac:dyDescent="0.35">
      <c r="D1277" s="26"/>
    </row>
    <row r="1278" spans="4:4" x14ac:dyDescent="0.35">
      <c r="D1278" s="26"/>
    </row>
    <row r="1279" spans="4:4" x14ac:dyDescent="0.35">
      <c r="D1279" s="26"/>
    </row>
    <row r="1280" spans="4:4" x14ac:dyDescent="0.35">
      <c r="D1280" s="26"/>
    </row>
    <row r="1281" spans="4:4" x14ac:dyDescent="0.35">
      <c r="D1281" s="26"/>
    </row>
    <row r="1282" spans="4:4" x14ac:dyDescent="0.35">
      <c r="D1282" s="26"/>
    </row>
    <row r="1283" spans="4:4" x14ac:dyDescent="0.35">
      <c r="D1283" s="26"/>
    </row>
    <row r="1284" spans="4:4" x14ac:dyDescent="0.35">
      <c r="D1284" s="26"/>
    </row>
    <row r="1285" spans="4:4" x14ac:dyDescent="0.35">
      <c r="D1285" s="26"/>
    </row>
    <row r="1286" spans="4:4" x14ac:dyDescent="0.35">
      <c r="D1286" s="26"/>
    </row>
    <row r="1287" spans="4:4" x14ac:dyDescent="0.35">
      <c r="D1287" s="26"/>
    </row>
    <row r="1288" spans="4:4" x14ac:dyDescent="0.35">
      <c r="D1288" s="26"/>
    </row>
    <row r="1289" spans="4:4" x14ac:dyDescent="0.35">
      <c r="D1289" s="26"/>
    </row>
    <row r="1290" spans="4:4" x14ac:dyDescent="0.35">
      <c r="D1290" s="26"/>
    </row>
    <row r="1291" spans="4:4" x14ac:dyDescent="0.35">
      <c r="D1291" s="26"/>
    </row>
    <row r="1292" spans="4:4" x14ac:dyDescent="0.35">
      <c r="D1292" s="26"/>
    </row>
    <row r="1293" spans="4:4" x14ac:dyDescent="0.35">
      <c r="D1293" s="26"/>
    </row>
    <row r="1294" spans="4:4" x14ac:dyDescent="0.35">
      <c r="D1294" s="26"/>
    </row>
    <row r="1295" spans="4:4" x14ac:dyDescent="0.35">
      <c r="D1295" s="26"/>
    </row>
    <row r="1296" spans="4:4" x14ac:dyDescent="0.35">
      <c r="D1296" s="26"/>
    </row>
    <row r="1297" spans="4:4" x14ac:dyDescent="0.35">
      <c r="D1297" s="26"/>
    </row>
    <row r="1298" spans="4:4" x14ac:dyDescent="0.35">
      <c r="D1298" s="26"/>
    </row>
    <row r="1299" spans="4:4" x14ac:dyDescent="0.35">
      <c r="D1299" s="26"/>
    </row>
    <row r="1300" spans="4:4" x14ac:dyDescent="0.35">
      <c r="D1300" s="26"/>
    </row>
    <row r="1301" spans="4:4" x14ac:dyDescent="0.35">
      <c r="D1301" s="26"/>
    </row>
    <row r="1302" spans="4:4" x14ac:dyDescent="0.35">
      <c r="D1302" s="26"/>
    </row>
    <row r="1303" spans="4:4" x14ac:dyDescent="0.35">
      <c r="D1303" s="26"/>
    </row>
    <row r="1304" spans="4:4" x14ac:dyDescent="0.35">
      <c r="D1304" s="26"/>
    </row>
    <row r="1305" spans="4:4" x14ac:dyDescent="0.35">
      <c r="D1305" s="26"/>
    </row>
    <row r="1306" spans="4:4" x14ac:dyDescent="0.35">
      <c r="D1306" s="26"/>
    </row>
    <row r="1307" spans="4:4" x14ac:dyDescent="0.35">
      <c r="D1307" s="26"/>
    </row>
    <row r="1308" spans="4:4" x14ac:dyDescent="0.35">
      <c r="D1308" s="26"/>
    </row>
    <row r="1309" spans="4:4" x14ac:dyDescent="0.35">
      <c r="D1309" s="26"/>
    </row>
    <row r="1310" spans="4:4" x14ac:dyDescent="0.35">
      <c r="D1310" s="26"/>
    </row>
    <row r="1311" spans="4:4" x14ac:dyDescent="0.35">
      <c r="D1311" s="26"/>
    </row>
    <row r="1312" spans="4:4" x14ac:dyDescent="0.35">
      <c r="D1312" s="26"/>
    </row>
    <row r="1313" spans="4:4" x14ac:dyDescent="0.35">
      <c r="D1313" s="26"/>
    </row>
    <row r="1314" spans="4:4" x14ac:dyDescent="0.35">
      <c r="D1314" s="26"/>
    </row>
    <row r="1315" spans="4:4" x14ac:dyDescent="0.35">
      <c r="D1315" s="26"/>
    </row>
    <row r="1316" spans="4:4" x14ac:dyDescent="0.35">
      <c r="D1316" s="26"/>
    </row>
    <row r="1317" spans="4:4" x14ac:dyDescent="0.35">
      <c r="D1317" s="26"/>
    </row>
    <row r="1318" spans="4:4" x14ac:dyDescent="0.35">
      <c r="D1318" s="26"/>
    </row>
    <row r="1319" spans="4:4" x14ac:dyDescent="0.35">
      <c r="D1319" s="26"/>
    </row>
    <row r="1320" spans="4:4" x14ac:dyDescent="0.35">
      <c r="D1320" s="26"/>
    </row>
    <row r="1321" spans="4:4" x14ac:dyDescent="0.35">
      <c r="D1321" s="26"/>
    </row>
    <row r="1322" spans="4:4" x14ac:dyDescent="0.35">
      <c r="D1322" s="26"/>
    </row>
    <row r="1323" spans="4:4" x14ac:dyDescent="0.35">
      <c r="D1323" s="26"/>
    </row>
    <row r="1324" spans="4:4" x14ac:dyDescent="0.35">
      <c r="D1324" s="26"/>
    </row>
    <row r="1325" spans="4:4" x14ac:dyDescent="0.35">
      <c r="D1325" s="26"/>
    </row>
    <row r="1326" spans="4:4" x14ac:dyDescent="0.35">
      <c r="D1326" s="26"/>
    </row>
    <row r="1327" spans="4:4" x14ac:dyDescent="0.35">
      <c r="D1327" s="26"/>
    </row>
    <row r="1328" spans="4:4" x14ac:dyDescent="0.35">
      <c r="D1328" s="26"/>
    </row>
    <row r="1329" spans="4:4" x14ac:dyDescent="0.35">
      <c r="D1329" s="26"/>
    </row>
    <row r="1330" spans="4:4" x14ac:dyDescent="0.35">
      <c r="D1330" s="26"/>
    </row>
    <row r="1331" spans="4:4" x14ac:dyDescent="0.35">
      <c r="D1331" s="26"/>
    </row>
    <row r="1332" spans="4:4" x14ac:dyDescent="0.35">
      <c r="D1332" s="26"/>
    </row>
    <row r="1333" spans="4:4" x14ac:dyDescent="0.35">
      <c r="D1333" s="26"/>
    </row>
    <row r="1334" spans="4:4" x14ac:dyDescent="0.35">
      <c r="D1334" s="26"/>
    </row>
    <row r="1335" spans="4:4" x14ac:dyDescent="0.35">
      <c r="D1335" s="26"/>
    </row>
    <row r="1336" spans="4:4" x14ac:dyDescent="0.35">
      <c r="D1336" s="26"/>
    </row>
    <row r="1337" spans="4:4" x14ac:dyDescent="0.35">
      <c r="D1337" s="26"/>
    </row>
    <row r="1338" spans="4:4" x14ac:dyDescent="0.35">
      <c r="D1338" s="26"/>
    </row>
    <row r="1339" spans="4:4" x14ac:dyDescent="0.35">
      <c r="D1339" s="26"/>
    </row>
    <row r="1340" spans="4:4" x14ac:dyDescent="0.35">
      <c r="D1340" s="26"/>
    </row>
    <row r="1341" spans="4:4" x14ac:dyDescent="0.35">
      <c r="D1341" s="26"/>
    </row>
    <row r="1342" spans="4:4" x14ac:dyDescent="0.35">
      <c r="D1342" s="26"/>
    </row>
    <row r="1343" spans="4:4" x14ac:dyDescent="0.35">
      <c r="D1343" s="26"/>
    </row>
    <row r="1344" spans="4:4" x14ac:dyDescent="0.35">
      <c r="D1344" s="26"/>
    </row>
    <row r="1345" spans="4:4" x14ac:dyDescent="0.35">
      <c r="D1345" s="26"/>
    </row>
    <row r="1346" spans="4:4" x14ac:dyDescent="0.35">
      <c r="D1346" s="26"/>
    </row>
    <row r="1347" spans="4:4" x14ac:dyDescent="0.35">
      <c r="D1347" s="26"/>
    </row>
    <row r="1348" spans="4:4" x14ac:dyDescent="0.35">
      <c r="D1348" s="26"/>
    </row>
    <row r="1349" spans="4:4" x14ac:dyDescent="0.35">
      <c r="D1349" s="26"/>
    </row>
    <row r="1350" spans="4:4" x14ac:dyDescent="0.35">
      <c r="D1350" s="26"/>
    </row>
    <row r="1351" spans="4:4" x14ac:dyDescent="0.35">
      <c r="D1351" s="26"/>
    </row>
    <row r="1352" spans="4:4" x14ac:dyDescent="0.35">
      <c r="D1352" s="26"/>
    </row>
    <row r="1353" spans="4:4" x14ac:dyDescent="0.35">
      <c r="D1353" s="26"/>
    </row>
    <row r="1354" spans="4:4" x14ac:dyDescent="0.35">
      <c r="D1354" s="26"/>
    </row>
    <row r="1355" spans="4:4" x14ac:dyDescent="0.35">
      <c r="D1355" s="26"/>
    </row>
    <row r="1356" spans="4:4" x14ac:dyDescent="0.35">
      <c r="D1356" s="26"/>
    </row>
    <row r="1357" spans="4:4" x14ac:dyDescent="0.35">
      <c r="D1357" s="26"/>
    </row>
    <row r="1358" spans="4:4" x14ac:dyDescent="0.35">
      <c r="D1358" s="26"/>
    </row>
    <row r="1359" spans="4:4" x14ac:dyDescent="0.35">
      <c r="D1359" s="26"/>
    </row>
    <row r="1360" spans="4:4" x14ac:dyDescent="0.35">
      <c r="D1360" s="26"/>
    </row>
    <row r="1361" spans="4:4" x14ac:dyDescent="0.35">
      <c r="D1361" s="26"/>
    </row>
    <row r="1362" spans="4:4" x14ac:dyDescent="0.35">
      <c r="D1362" s="26"/>
    </row>
    <row r="1363" spans="4:4" x14ac:dyDescent="0.35">
      <c r="D1363" s="26"/>
    </row>
    <row r="1364" spans="4:4" x14ac:dyDescent="0.35">
      <c r="D1364" s="26"/>
    </row>
    <row r="1365" spans="4:4" x14ac:dyDescent="0.35">
      <c r="D1365" s="26"/>
    </row>
    <row r="1366" spans="4:4" x14ac:dyDescent="0.35">
      <c r="D1366" s="26"/>
    </row>
    <row r="1367" spans="4:4" x14ac:dyDescent="0.35">
      <c r="D1367" s="26"/>
    </row>
    <row r="1368" spans="4:4" x14ac:dyDescent="0.35">
      <c r="D1368" s="26"/>
    </row>
    <row r="1369" spans="4:4" x14ac:dyDescent="0.35">
      <c r="D1369" s="26"/>
    </row>
    <row r="1370" spans="4:4" x14ac:dyDescent="0.35">
      <c r="D1370" s="26"/>
    </row>
    <row r="1371" spans="4:4" x14ac:dyDescent="0.35">
      <c r="D1371" s="26"/>
    </row>
    <row r="1372" spans="4:4" x14ac:dyDescent="0.35">
      <c r="D1372" s="26"/>
    </row>
    <row r="1373" spans="4:4" x14ac:dyDescent="0.35">
      <c r="D1373" s="26"/>
    </row>
    <row r="1374" spans="4:4" x14ac:dyDescent="0.35">
      <c r="D1374" s="26"/>
    </row>
    <row r="1375" spans="4:4" x14ac:dyDescent="0.35">
      <c r="D1375" s="26"/>
    </row>
    <row r="1376" spans="4:4" x14ac:dyDescent="0.35">
      <c r="D1376" s="26"/>
    </row>
    <row r="1377" spans="4:4" x14ac:dyDescent="0.35">
      <c r="D1377" s="26"/>
    </row>
    <row r="1378" spans="4:4" x14ac:dyDescent="0.35">
      <c r="D1378" s="26"/>
    </row>
    <row r="1379" spans="4:4" x14ac:dyDescent="0.35">
      <c r="D1379" s="26"/>
    </row>
    <row r="1380" spans="4:4" x14ac:dyDescent="0.35">
      <c r="D1380" s="26"/>
    </row>
    <row r="1381" spans="4:4" x14ac:dyDescent="0.35">
      <c r="D1381" s="26"/>
    </row>
    <row r="1382" spans="4:4" x14ac:dyDescent="0.35">
      <c r="D1382" s="26"/>
    </row>
    <row r="1383" spans="4:4" x14ac:dyDescent="0.35">
      <c r="D1383" s="26"/>
    </row>
    <row r="1384" spans="4:4" x14ac:dyDescent="0.35">
      <c r="D1384" s="26"/>
    </row>
    <row r="1385" spans="4:4" x14ac:dyDescent="0.35">
      <c r="D1385" s="26"/>
    </row>
    <row r="1386" spans="4:4" x14ac:dyDescent="0.35">
      <c r="D1386" s="26"/>
    </row>
    <row r="1387" spans="4:4" x14ac:dyDescent="0.35">
      <c r="D1387" s="26"/>
    </row>
    <row r="1388" spans="4:4" x14ac:dyDescent="0.35">
      <c r="D1388" s="26"/>
    </row>
    <row r="1389" spans="4:4" x14ac:dyDescent="0.35">
      <c r="D1389" s="26"/>
    </row>
    <row r="1390" spans="4:4" x14ac:dyDescent="0.35">
      <c r="D1390" s="26"/>
    </row>
    <row r="1391" spans="4:4" x14ac:dyDescent="0.35">
      <c r="D1391" s="26"/>
    </row>
    <row r="1392" spans="4:4" x14ac:dyDescent="0.35">
      <c r="D1392" s="26"/>
    </row>
    <row r="1393" spans="4:4" x14ac:dyDescent="0.35">
      <c r="D1393" s="26"/>
    </row>
    <row r="1394" spans="4:4" x14ac:dyDescent="0.35">
      <c r="D1394" s="26"/>
    </row>
    <row r="1395" spans="4:4" x14ac:dyDescent="0.35">
      <c r="D1395" s="26"/>
    </row>
    <row r="1396" spans="4:4" x14ac:dyDescent="0.35">
      <c r="D1396" s="26"/>
    </row>
    <row r="1397" spans="4:4" x14ac:dyDescent="0.35">
      <c r="D1397" s="26"/>
    </row>
    <row r="1398" spans="4:4" x14ac:dyDescent="0.35">
      <c r="D1398" s="26"/>
    </row>
    <row r="1399" spans="4:4" x14ac:dyDescent="0.35">
      <c r="D1399" s="26"/>
    </row>
    <row r="1400" spans="4:4" x14ac:dyDescent="0.35">
      <c r="D1400" s="26"/>
    </row>
    <row r="1401" spans="4:4" x14ac:dyDescent="0.35">
      <c r="D1401" s="26"/>
    </row>
    <row r="1402" spans="4:4" x14ac:dyDescent="0.35">
      <c r="D1402" s="26"/>
    </row>
    <row r="1403" spans="4:4" x14ac:dyDescent="0.35">
      <c r="D1403" s="26"/>
    </row>
    <row r="1404" spans="4:4" x14ac:dyDescent="0.35">
      <c r="D1404" s="26"/>
    </row>
    <row r="1405" spans="4:4" x14ac:dyDescent="0.35">
      <c r="D1405" s="26"/>
    </row>
    <row r="1406" spans="4:4" x14ac:dyDescent="0.35">
      <c r="D1406" s="26"/>
    </row>
    <row r="1407" spans="4:4" x14ac:dyDescent="0.35">
      <c r="D1407" s="26"/>
    </row>
    <row r="1408" spans="4:4" x14ac:dyDescent="0.35">
      <c r="D1408" s="26"/>
    </row>
    <row r="1409" spans="4:4" x14ac:dyDescent="0.35">
      <c r="D1409" s="26"/>
    </row>
    <row r="1410" spans="4:4" x14ac:dyDescent="0.35">
      <c r="D1410" s="26"/>
    </row>
    <row r="1411" spans="4:4" x14ac:dyDescent="0.35">
      <c r="D1411" s="26"/>
    </row>
    <row r="1412" spans="4:4" x14ac:dyDescent="0.35">
      <c r="D1412" s="26"/>
    </row>
    <row r="1413" spans="4:4" x14ac:dyDescent="0.35">
      <c r="D1413" s="26"/>
    </row>
    <row r="1414" spans="4:4" x14ac:dyDescent="0.35">
      <c r="D1414" s="26"/>
    </row>
    <row r="1415" spans="4:4" x14ac:dyDescent="0.35">
      <c r="D1415" s="26"/>
    </row>
    <row r="1416" spans="4:4" x14ac:dyDescent="0.35">
      <c r="D1416" s="26"/>
    </row>
    <row r="1417" spans="4:4" x14ac:dyDescent="0.35">
      <c r="D1417" s="26"/>
    </row>
    <row r="1418" spans="4:4" x14ac:dyDescent="0.35">
      <c r="D1418" s="26"/>
    </row>
    <row r="1419" spans="4:4" x14ac:dyDescent="0.35">
      <c r="D1419" s="26"/>
    </row>
    <row r="1420" spans="4:4" x14ac:dyDescent="0.35">
      <c r="D1420" s="26"/>
    </row>
    <row r="1421" spans="4:4" x14ac:dyDescent="0.35">
      <c r="D1421" s="26"/>
    </row>
    <row r="1422" spans="4:4" x14ac:dyDescent="0.35">
      <c r="D1422" s="26"/>
    </row>
    <row r="1423" spans="4:4" x14ac:dyDescent="0.35">
      <c r="D1423" s="26"/>
    </row>
    <row r="1424" spans="4:4" x14ac:dyDescent="0.35">
      <c r="D1424" s="26"/>
    </row>
    <row r="1425" spans="4:4" x14ac:dyDescent="0.35">
      <c r="D1425" s="26"/>
    </row>
    <row r="1426" spans="4:4" x14ac:dyDescent="0.35">
      <c r="D1426" s="26"/>
    </row>
    <row r="1427" spans="4:4" x14ac:dyDescent="0.35">
      <c r="D1427" s="26"/>
    </row>
    <row r="1428" spans="4:4" x14ac:dyDescent="0.35">
      <c r="D1428" s="26"/>
    </row>
    <row r="1429" spans="4:4" x14ac:dyDescent="0.35">
      <c r="D1429" s="26"/>
    </row>
    <row r="1430" spans="4:4" x14ac:dyDescent="0.35">
      <c r="D1430" s="26"/>
    </row>
    <row r="1431" spans="4:4" x14ac:dyDescent="0.35">
      <c r="D1431" s="26"/>
    </row>
    <row r="1432" spans="4:4" x14ac:dyDescent="0.35">
      <c r="D1432" s="26"/>
    </row>
    <row r="1433" spans="4:4" x14ac:dyDescent="0.35">
      <c r="D1433" s="26"/>
    </row>
    <row r="1434" spans="4:4" x14ac:dyDescent="0.35">
      <c r="D1434" s="26"/>
    </row>
    <row r="1435" spans="4:4" x14ac:dyDescent="0.35">
      <c r="D1435" s="26"/>
    </row>
    <row r="1436" spans="4:4" x14ac:dyDescent="0.35">
      <c r="D1436" s="26"/>
    </row>
    <row r="1437" spans="4:4" x14ac:dyDescent="0.35">
      <c r="D1437" s="26"/>
    </row>
    <row r="1438" spans="4:4" x14ac:dyDescent="0.35">
      <c r="D1438" s="26"/>
    </row>
    <row r="1439" spans="4:4" x14ac:dyDescent="0.35">
      <c r="D1439" s="26"/>
    </row>
    <row r="1440" spans="4:4" x14ac:dyDescent="0.35">
      <c r="D1440" s="26"/>
    </row>
    <row r="1441" spans="4:4" x14ac:dyDescent="0.35">
      <c r="D1441" s="26"/>
    </row>
    <row r="1442" spans="4:4" x14ac:dyDescent="0.35">
      <c r="D1442" s="26"/>
    </row>
    <row r="1443" spans="4:4" x14ac:dyDescent="0.35">
      <c r="D1443" s="26"/>
    </row>
    <row r="1444" spans="4:4" x14ac:dyDescent="0.35">
      <c r="D1444" s="26"/>
    </row>
    <row r="1445" spans="4:4" x14ac:dyDescent="0.35">
      <c r="D1445" s="26"/>
    </row>
    <row r="1446" spans="4:4" x14ac:dyDescent="0.35">
      <c r="D1446" s="26"/>
    </row>
    <row r="1447" spans="4:4" x14ac:dyDescent="0.35">
      <c r="D1447" s="26"/>
    </row>
    <row r="1448" spans="4:4" x14ac:dyDescent="0.35">
      <c r="D1448" s="26"/>
    </row>
    <row r="1449" spans="4:4" x14ac:dyDescent="0.35">
      <c r="D1449" s="26"/>
    </row>
    <row r="1450" spans="4:4" x14ac:dyDescent="0.35">
      <c r="D1450" s="26"/>
    </row>
    <row r="1451" spans="4:4" x14ac:dyDescent="0.35">
      <c r="D1451" s="26"/>
    </row>
    <row r="1452" spans="4:4" x14ac:dyDescent="0.35">
      <c r="D1452" s="26"/>
    </row>
    <row r="1453" spans="4:4" x14ac:dyDescent="0.35">
      <c r="D1453" s="26"/>
    </row>
    <row r="1454" spans="4:4" x14ac:dyDescent="0.35">
      <c r="D1454" s="26"/>
    </row>
    <row r="1455" spans="4:4" x14ac:dyDescent="0.35">
      <c r="D1455" s="26"/>
    </row>
    <row r="1456" spans="4:4" x14ac:dyDescent="0.35">
      <c r="D1456" s="26"/>
    </row>
    <row r="1457" spans="4:4" x14ac:dyDescent="0.35">
      <c r="D1457" s="26"/>
    </row>
    <row r="1458" spans="4:4" x14ac:dyDescent="0.35">
      <c r="D1458" s="26"/>
    </row>
    <row r="1459" spans="4:4" x14ac:dyDescent="0.35">
      <c r="D1459" s="26"/>
    </row>
    <row r="1460" spans="4:4" x14ac:dyDescent="0.35">
      <c r="D1460" s="26"/>
    </row>
    <row r="1461" spans="4:4" x14ac:dyDescent="0.35">
      <c r="D1461" s="26"/>
    </row>
    <row r="1462" spans="4:4" x14ac:dyDescent="0.35">
      <c r="D1462" s="26"/>
    </row>
    <row r="1463" spans="4:4" x14ac:dyDescent="0.35">
      <c r="D1463" s="26"/>
    </row>
    <row r="1464" spans="4:4" x14ac:dyDescent="0.35">
      <c r="D1464" s="26"/>
    </row>
    <row r="1465" spans="4:4" x14ac:dyDescent="0.35">
      <c r="D1465" s="26"/>
    </row>
    <row r="1466" spans="4:4" x14ac:dyDescent="0.35">
      <c r="D1466" s="26"/>
    </row>
    <row r="1467" spans="4:4" x14ac:dyDescent="0.35">
      <c r="D1467" s="26"/>
    </row>
    <row r="1468" spans="4:4" x14ac:dyDescent="0.35">
      <c r="D1468" s="26"/>
    </row>
    <row r="1469" spans="4:4" x14ac:dyDescent="0.35">
      <c r="D1469" s="26"/>
    </row>
    <row r="1470" spans="4:4" x14ac:dyDescent="0.35">
      <c r="D1470" s="26"/>
    </row>
    <row r="1471" spans="4:4" x14ac:dyDescent="0.35">
      <c r="D1471" s="26"/>
    </row>
    <row r="1472" spans="4:4" x14ac:dyDescent="0.35">
      <c r="D1472" s="26"/>
    </row>
    <row r="1473" spans="4:4" x14ac:dyDescent="0.35">
      <c r="D1473" s="26"/>
    </row>
    <row r="1474" spans="4:4" x14ac:dyDescent="0.35">
      <c r="D1474" s="26"/>
    </row>
    <row r="1475" spans="4:4" x14ac:dyDescent="0.35">
      <c r="D1475" s="26"/>
    </row>
    <row r="1476" spans="4:4" x14ac:dyDescent="0.35">
      <c r="D1476" s="26"/>
    </row>
    <row r="1477" spans="4:4" x14ac:dyDescent="0.35">
      <c r="D1477" s="26"/>
    </row>
    <row r="1478" spans="4:4" x14ac:dyDescent="0.35">
      <c r="D1478" s="26"/>
    </row>
    <row r="1479" spans="4:4" x14ac:dyDescent="0.35">
      <c r="D1479" s="26"/>
    </row>
    <row r="1480" spans="4:4" x14ac:dyDescent="0.35">
      <c r="D1480" s="26"/>
    </row>
    <row r="1481" spans="4:4" x14ac:dyDescent="0.35">
      <c r="D1481" s="26"/>
    </row>
    <row r="1482" spans="4:4" x14ac:dyDescent="0.35">
      <c r="D1482" s="26"/>
    </row>
    <row r="1483" spans="4:4" x14ac:dyDescent="0.35">
      <c r="D1483" s="26"/>
    </row>
    <row r="1484" spans="4:4" x14ac:dyDescent="0.35">
      <c r="D1484" s="26"/>
    </row>
    <row r="1485" spans="4:4" x14ac:dyDescent="0.35">
      <c r="D1485" s="26"/>
    </row>
    <row r="1486" spans="4:4" x14ac:dyDescent="0.35">
      <c r="D1486" s="26"/>
    </row>
    <row r="1487" spans="4:4" x14ac:dyDescent="0.35">
      <c r="D1487" s="26"/>
    </row>
    <row r="1488" spans="4:4" x14ac:dyDescent="0.35">
      <c r="D1488" s="26"/>
    </row>
    <row r="1489" spans="4:4" x14ac:dyDescent="0.35">
      <c r="D1489" s="26"/>
    </row>
    <row r="1490" spans="4:4" x14ac:dyDescent="0.35">
      <c r="D1490" s="26"/>
    </row>
    <row r="1491" spans="4:4" x14ac:dyDescent="0.35">
      <c r="D1491" s="26"/>
    </row>
    <row r="1492" spans="4:4" x14ac:dyDescent="0.35">
      <c r="D1492" s="26"/>
    </row>
    <row r="1493" spans="4:4" x14ac:dyDescent="0.35">
      <c r="D1493" s="26"/>
    </row>
  </sheetData>
  <mergeCells count="2">
    <mergeCell ref="E72:G73"/>
    <mergeCell ref="D2:F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0657-F97C-4285-A9D6-163B9524E8D0}">
  <dimension ref="A1:P1495"/>
  <sheetViews>
    <sheetView topLeftCell="B30" workbookViewId="0">
      <selection activeCell="R65" sqref="R64:R65"/>
    </sheetView>
  </sheetViews>
  <sheetFormatPr defaultColWidth="9.1796875" defaultRowHeight="14.5" x14ac:dyDescent="0.35"/>
  <cols>
    <col min="1" max="1" width="22.7265625" style="26" customWidth="1"/>
    <col min="2" max="2" width="21" style="26" customWidth="1"/>
    <col min="3" max="3" width="11.453125" style="26" customWidth="1"/>
    <col min="4" max="4" width="11.453125" style="400" customWidth="1"/>
    <col min="5" max="6" width="11.26953125" style="26" customWidth="1"/>
    <col min="7" max="7" width="11" style="26" customWidth="1"/>
    <col min="8" max="8" width="11.7265625" style="26" customWidth="1"/>
    <col min="9" max="9" width="11.1796875" style="26" customWidth="1"/>
    <col min="10" max="10" width="8.81640625" style="26" customWidth="1"/>
    <col min="11" max="11" width="10.453125" style="26" bestFit="1" customWidth="1"/>
    <col min="12" max="12" width="9.1796875" style="26"/>
    <col min="13" max="13" width="9.1796875" style="143"/>
    <col min="14" max="16384" width="9.1796875" style="26"/>
  </cols>
  <sheetData>
    <row r="1" spans="1:15" ht="18" x14ac:dyDescent="0.4">
      <c r="A1" s="1"/>
      <c r="B1" s="409"/>
      <c r="C1" s="6"/>
      <c r="D1" s="6"/>
      <c r="E1" s="146" t="s">
        <v>93</v>
      </c>
      <c r="F1" s="146"/>
      <c r="G1" s="145"/>
      <c r="H1" s="409"/>
      <c r="I1" s="1"/>
      <c r="J1" s="2"/>
      <c r="K1" s="25"/>
    </row>
    <row r="2" spans="1:15" x14ac:dyDescent="0.35">
      <c r="A2" s="1"/>
      <c r="C2" s="422" t="s">
        <v>95</v>
      </c>
      <c r="D2" s="422"/>
      <c r="E2" s="422"/>
      <c r="F2" s="422"/>
      <c r="G2" s="422"/>
      <c r="H2" s="422"/>
      <c r="I2" s="1"/>
      <c r="J2" s="1"/>
      <c r="K2" s="28"/>
    </row>
    <row r="3" spans="1:15" ht="15" thickBot="1" x14ac:dyDescent="0.4">
      <c r="A3" s="1"/>
      <c r="B3" s="1"/>
      <c r="C3" s="398"/>
      <c r="D3" s="398"/>
      <c r="E3" s="30"/>
      <c r="F3" s="30"/>
      <c r="G3" s="31"/>
      <c r="H3" s="1"/>
      <c r="I3" s="1"/>
      <c r="J3" s="2"/>
      <c r="K3" s="30"/>
    </row>
    <row r="4" spans="1:15" x14ac:dyDescent="0.35">
      <c r="A4" s="337"/>
      <c r="B4" s="340" t="s">
        <v>2</v>
      </c>
      <c r="C4" s="314" t="s">
        <v>3</v>
      </c>
      <c r="D4" s="314" t="s">
        <v>4</v>
      </c>
      <c r="E4" s="314" t="s">
        <v>5</v>
      </c>
      <c r="F4" s="315" t="s">
        <v>6</v>
      </c>
      <c r="G4" s="316" t="s">
        <v>7</v>
      </c>
      <c r="H4" s="317" t="s">
        <v>7</v>
      </c>
      <c r="I4" s="310"/>
      <c r="J4" s="310"/>
      <c r="K4" s="310"/>
    </row>
    <row r="5" spans="1:15" x14ac:dyDescent="0.35">
      <c r="A5" s="71"/>
      <c r="B5" s="341" t="s">
        <v>63</v>
      </c>
      <c r="C5" s="207" t="s">
        <v>9</v>
      </c>
      <c r="D5" s="207" t="s">
        <v>9</v>
      </c>
      <c r="E5" s="207" t="s">
        <v>9</v>
      </c>
      <c r="F5" s="208" t="s">
        <v>9</v>
      </c>
      <c r="G5" s="209" t="s">
        <v>10</v>
      </c>
      <c r="H5" s="319" t="s">
        <v>10</v>
      </c>
      <c r="I5" s="276"/>
      <c r="K5" s="143"/>
      <c r="M5" s="26"/>
    </row>
    <row r="6" spans="1:15" ht="15" thickBot="1" x14ac:dyDescent="0.4">
      <c r="A6" s="71"/>
      <c r="B6" s="341" t="s">
        <v>11</v>
      </c>
      <c r="C6" s="207" t="s">
        <v>85</v>
      </c>
      <c r="D6" s="207" t="s">
        <v>86</v>
      </c>
      <c r="E6" s="207" t="s">
        <v>0</v>
      </c>
      <c r="F6" s="207" t="s">
        <v>0</v>
      </c>
      <c r="G6" s="275" t="s">
        <v>0</v>
      </c>
      <c r="H6" s="320" t="s">
        <v>12</v>
      </c>
      <c r="I6" s="29"/>
      <c r="K6" s="143"/>
      <c r="M6" s="26"/>
    </row>
    <row r="7" spans="1:15" ht="15.75" customHeight="1" thickBot="1" x14ac:dyDescent="0.4">
      <c r="A7" s="76"/>
      <c r="B7" s="277" t="s">
        <v>57</v>
      </c>
      <c r="C7" s="363" t="s">
        <v>14</v>
      </c>
      <c r="D7" s="364" t="s">
        <v>14</v>
      </c>
      <c r="E7" s="364" t="s">
        <v>14</v>
      </c>
      <c r="F7" s="365" t="s">
        <v>14</v>
      </c>
      <c r="G7" s="365" t="s">
        <v>14</v>
      </c>
      <c r="H7" s="365" t="s">
        <v>14</v>
      </c>
      <c r="I7" s="29"/>
      <c r="K7" s="426" t="s">
        <v>96</v>
      </c>
      <c r="L7" s="426"/>
      <c r="M7" s="26"/>
    </row>
    <row r="8" spans="1:15" x14ac:dyDescent="0.35">
      <c r="A8" s="6"/>
      <c r="B8" s="361"/>
      <c r="C8" s="370"/>
      <c r="D8" s="371"/>
      <c r="E8" s="372"/>
      <c r="F8" s="372"/>
      <c r="G8" s="373"/>
      <c r="H8" s="374"/>
      <c r="I8" s="311"/>
      <c r="J8" s="410">
        <v>45383</v>
      </c>
      <c r="K8" s="26" t="s">
        <v>102</v>
      </c>
      <c r="L8" s="200" t="s">
        <v>21</v>
      </c>
      <c r="M8" s="26"/>
      <c r="N8" s="26" t="s">
        <v>102</v>
      </c>
      <c r="O8" s="26" t="s">
        <v>21</v>
      </c>
    </row>
    <row r="9" spans="1:15" ht="15" thickBot="1" x14ac:dyDescent="0.4">
      <c r="A9" s="6"/>
      <c r="B9" s="344">
        <v>2</v>
      </c>
      <c r="C9" s="182">
        <f t="shared" ref="C9:H9" si="0">C11</f>
        <v>24413</v>
      </c>
      <c r="D9" s="377">
        <f t="shared" si="0"/>
        <v>26244</v>
      </c>
      <c r="E9" s="377">
        <f t="shared" si="0"/>
        <v>2187</v>
      </c>
      <c r="F9" s="377">
        <f t="shared" si="0"/>
        <v>503.30821011449285</v>
      </c>
      <c r="G9" s="378">
        <f t="shared" si="0"/>
        <v>13.602924597688997</v>
      </c>
      <c r="H9" s="379">
        <f t="shared" si="0"/>
        <v>15.481488484629846</v>
      </c>
      <c r="I9" s="311"/>
      <c r="J9" s="311">
        <f>'April 24'!C9</f>
        <v>23656</v>
      </c>
      <c r="K9" s="143">
        <f>_xlfn.XLOOKUP(B9,'2025 Circular'!A:A,'2025 Circular'!D:D,"",0)</f>
        <v>24413</v>
      </c>
      <c r="L9" s="413">
        <f>_xlfn.XLOOKUP(B9,'2025 Circular'!A:A,'2025 Circular'!E:E,"",0)</f>
        <v>12.65</v>
      </c>
      <c r="M9" s="26" t="b">
        <f>EXACT(C9,K9)</f>
        <v>1</v>
      </c>
      <c r="N9" s="414">
        <f>(K9-J9)/J9</f>
        <v>3.2000338180588436E-2</v>
      </c>
      <c r="O9" s="414">
        <f t="shared" ref="O9" si="1">(G9-SUM(ROUND($J9*1.075,0)/52.143)/37)/(SUM(ROUND($J9*1.075,0)/52.143)/37)</f>
        <v>3.2009437672041029E-2</v>
      </c>
    </row>
    <row r="10" spans="1:15" ht="15" thickBot="1" x14ac:dyDescent="0.4">
      <c r="A10" s="6"/>
      <c r="B10" s="277" t="s">
        <v>58</v>
      </c>
      <c r="C10" s="366"/>
      <c r="D10" s="366"/>
      <c r="E10" s="367"/>
      <c r="F10" s="367"/>
      <c r="G10" s="368"/>
      <c r="H10" s="369"/>
      <c r="I10" s="311"/>
      <c r="J10" s="311"/>
      <c r="K10" s="143" t="str">
        <f>_xlfn.XLOOKUP(B10,'2025 Circular'!A:A,'2025 Circular'!D:D,"",0)</f>
        <v/>
      </c>
      <c r="L10" s="413" t="str">
        <f>_xlfn.XLOOKUP(B10,'2025 Circular'!A:A,'2025 Circular'!E:E,"",0)</f>
        <v/>
      </c>
      <c r="M10" s="26"/>
      <c r="N10" s="414"/>
      <c r="O10" s="414"/>
    </row>
    <row r="11" spans="1:15" x14ac:dyDescent="0.35">
      <c r="A11" s="6"/>
      <c r="B11" s="342">
        <v>2</v>
      </c>
      <c r="C11" s="180">
        <v>24413</v>
      </c>
      <c r="D11" s="180">
        <f>ROUND((C11*1.075),0)</f>
        <v>26244</v>
      </c>
      <c r="E11" s="157">
        <f>D11/12</f>
        <v>2187</v>
      </c>
      <c r="F11" s="158">
        <f>SUM(D11/52.143)</f>
        <v>503.30821011449285</v>
      </c>
      <c r="G11" s="170">
        <f>SUM($D11/52.143)/37</f>
        <v>13.602924597688997</v>
      </c>
      <c r="H11" s="328">
        <f>SUM($D11/52.143)/37*1.1381</f>
        <v>15.481488484629846</v>
      </c>
      <c r="I11" s="311"/>
      <c r="J11" s="311">
        <f>'April 24'!C11</f>
        <v>23656</v>
      </c>
      <c r="K11" s="143">
        <f>_xlfn.XLOOKUP(B11,'2025 Circular'!A:A,'2025 Circular'!D:D,"",0)</f>
        <v>24413</v>
      </c>
      <c r="L11" s="413">
        <f>_xlfn.XLOOKUP(B11,'2025 Circular'!A:A,'2025 Circular'!E:E,"",0)</f>
        <v>12.65</v>
      </c>
      <c r="M11" s="26" t="b">
        <f t="shared" ref="M11:M40" si="2">EXACT(C11,K11)</f>
        <v>1</v>
      </c>
      <c r="N11" s="414">
        <f t="shared" ref="N11:N37" si="3">(K11-J11)/J11</f>
        <v>3.2000338180588436E-2</v>
      </c>
      <c r="O11" s="414">
        <f>(G11-SUM(ROUND($J11*1.075,0)/52.143)/37)/(SUM(ROUND($J11*1.075,0)/52.143)/37)</f>
        <v>3.2009437672041029E-2</v>
      </c>
    </row>
    <row r="12" spans="1:15" ht="15" thickBot="1" x14ac:dyDescent="0.4">
      <c r="A12" s="6"/>
      <c r="B12" s="343">
        <v>3</v>
      </c>
      <c r="C12" s="223">
        <v>24796</v>
      </c>
      <c r="D12" s="223">
        <f>ROUND((C12*1.075),0)</f>
        <v>26656</v>
      </c>
      <c r="E12" s="151">
        <f>D12/12</f>
        <v>2221.3333333333335</v>
      </c>
      <c r="F12" s="152">
        <f>SUM(D12/52.143)</f>
        <v>511.2095583299772</v>
      </c>
      <c r="G12" s="163">
        <f>SUM($D12/52.143)/37</f>
        <v>13.816474549458842</v>
      </c>
      <c r="H12" s="322">
        <f>SUM($D12/52.143)/37*1.1381</f>
        <v>15.724529684739107</v>
      </c>
      <c r="I12" s="311"/>
      <c r="J12" s="311">
        <f>'April 24'!C12</f>
        <v>24027</v>
      </c>
      <c r="K12" s="143">
        <f>_xlfn.XLOOKUP(B12,'2025 Circular'!A:A,'2025 Circular'!D:D,"",0)</f>
        <v>24796</v>
      </c>
      <c r="L12" s="413">
        <f>_xlfn.XLOOKUP(B12,'2025 Circular'!A:A,'2025 Circular'!E:E,"",0)</f>
        <v>12.85</v>
      </c>
      <c r="M12" s="26" t="b">
        <f t="shared" si="2"/>
        <v>1</v>
      </c>
      <c r="N12" s="414">
        <f t="shared" si="3"/>
        <v>3.2005660298830479E-2</v>
      </c>
      <c r="O12" s="414">
        <f t="shared" ref="O12:O37" si="4">(G12-SUM(ROUND($J12*1.075,0)/52.143)/37)/(SUM(ROUND($J12*1.075,0)/52.143)/37)</f>
        <v>3.2018274033063565E-2</v>
      </c>
    </row>
    <row r="13" spans="1:15" ht="15" thickBot="1" x14ac:dyDescent="0.4">
      <c r="A13" s="6"/>
      <c r="B13" s="277" t="s">
        <v>59</v>
      </c>
      <c r="C13" s="281"/>
      <c r="D13" s="281"/>
      <c r="E13" s="282"/>
      <c r="F13" s="282"/>
      <c r="G13" s="283"/>
      <c r="H13" s="327"/>
      <c r="I13" s="311"/>
      <c r="J13" s="311"/>
      <c r="K13" s="143" t="str">
        <f>_xlfn.XLOOKUP(B13,'2025 Circular'!A:A,'2025 Circular'!D:D,"",0)</f>
        <v/>
      </c>
      <c r="L13" s="413" t="str">
        <f>_xlfn.XLOOKUP(B13,'2025 Circular'!A:A,'2025 Circular'!E:E,"",0)</f>
        <v/>
      </c>
      <c r="M13" s="26"/>
      <c r="N13" s="414"/>
      <c r="O13" s="414"/>
    </row>
    <row r="14" spans="1:15" x14ac:dyDescent="0.35">
      <c r="A14" s="6"/>
      <c r="B14" s="342">
        <v>3</v>
      </c>
      <c r="C14" s="180">
        <f t="shared" ref="C14:H14" si="5">C12</f>
        <v>24796</v>
      </c>
      <c r="D14" s="285">
        <f t="shared" si="5"/>
        <v>26656</v>
      </c>
      <c r="E14" s="285">
        <f t="shared" si="5"/>
        <v>2221.3333333333335</v>
      </c>
      <c r="F14" s="285">
        <f t="shared" si="5"/>
        <v>511.2095583299772</v>
      </c>
      <c r="G14" s="284">
        <f t="shared" si="5"/>
        <v>13.816474549458842</v>
      </c>
      <c r="H14" s="331">
        <f t="shared" si="5"/>
        <v>15.724529684739107</v>
      </c>
      <c r="I14" s="311"/>
      <c r="J14" s="311">
        <f>'April 24'!C14</f>
        <v>24027</v>
      </c>
      <c r="K14" s="143">
        <f>_xlfn.XLOOKUP(B14,'2025 Circular'!A:A,'2025 Circular'!D:D,"",0)</f>
        <v>24796</v>
      </c>
      <c r="L14" s="413">
        <f>_xlfn.XLOOKUP(B14,'2025 Circular'!A:A,'2025 Circular'!E:E,"",0)</f>
        <v>12.85</v>
      </c>
      <c r="M14" s="26" t="b">
        <f t="shared" si="2"/>
        <v>1</v>
      </c>
      <c r="N14" s="414">
        <f t="shared" si="3"/>
        <v>3.2005660298830479E-2</v>
      </c>
      <c r="O14" s="414">
        <f t="shared" si="4"/>
        <v>3.2018274033063565E-2</v>
      </c>
    </row>
    <row r="15" spans="1:15" ht="15" thickBot="1" x14ac:dyDescent="0.4">
      <c r="A15" s="6"/>
      <c r="B15" s="344">
        <v>4</v>
      </c>
      <c r="C15" s="182">
        <v>25185</v>
      </c>
      <c r="D15" s="178">
        <f>ROUND((C15*1.075),0)</f>
        <v>27074</v>
      </c>
      <c r="E15" s="159">
        <f>D15/12</f>
        <v>2256.1666666666665</v>
      </c>
      <c r="F15" s="160">
        <f>SUM(D15/52.143)</f>
        <v>519.2259747233569</v>
      </c>
      <c r="G15" s="172">
        <f>SUM($D15/52.143)/37</f>
        <v>14.033134451982619</v>
      </c>
      <c r="H15" s="333">
        <f>SUM($D15/52.143)/37*1.1381</f>
        <v>15.971110319801417</v>
      </c>
      <c r="I15" s="311"/>
      <c r="J15" s="311">
        <f>'April 24'!C15</f>
        <v>24404</v>
      </c>
      <c r="K15" s="143">
        <f>_xlfn.XLOOKUP(B15,'2025 Circular'!A:A,'2025 Circular'!D:D,"",0)</f>
        <v>25185</v>
      </c>
      <c r="L15" s="413">
        <f>_xlfn.XLOOKUP(B15,'2025 Circular'!A:A,'2025 Circular'!E:E,"",0)</f>
        <v>13.05</v>
      </c>
      <c r="M15" s="26" t="b">
        <f t="shared" si="2"/>
        <v>1</v>
      </c>
      <c r="N15" s="414">
        <f t="shared" si="3"/>
        <v>3.2002950336010492E-2</v>
      </c>
      <c r="O15" s="414">
        <f t="shared" si="4"/>
        <v>3.2019516657772272E-2</v>
      </c>
    </row>
    <row r="16" spans="1:15" ht="15" thickBot="1" x14ac:dyDescent="0.4">
      <c r="A16" s="76"/>
      <c r="B16" s="277" t="s">
        <v>15</v>
      </c>
      <c r="C16" s="338"/>
      <c r="D16" s="292"/>
      <c r="E16" s="289"/>
      <c r="F16" s="289"/>
      <c r="G16" s="290"/>
      <c r="H16" s="293"/>
      <c r="I16" s="311"/>
      <c r="J16" s="311"/>
      <c r="K16" s="143" t="str">
        <f>_xlfn.XLOOKUP(B16,'2025 Circular'!A:A,'2025 Circular'!D:D,"",0)</f>
        <v/>
      </c>
      <c r="L16" s="413" t="str">
        <f>_xlfn.XLOOKUP(B16,'2025 Circular'!A:A,'2025 Circular'!E:E,"",0)</f>
        <v/>
      </c>
      <c r="M16" s="26"/>
      <c r="N16" s="414"/>
      <c r="O16" s="414"/>
    </row>
    <row r="17" spans="1:15" x14ac:dyDescent="0.35">
      <c r="A17" s="6"/>
      <c r="B17" s="342">
        <v>5</v>
      </c>
      <c r="C17" s="223">
        <v>25583</v>
      </c>
      <c r="D17" s="223">
        <f>ROUND((C17*1.075),0)</f>
        <v>27502</v>
      </c>
      <c r="E17" s="151">
        <f>D17/12</f>
        <v>2291.8333333333335</v>
      </c>
      <c r="F17" s="152">
        <f>SUM(D17/52.143)</f>
        <v>527.43417141322902</v>
      </c>
      <c r="G17" s="163">
        <f>SUM($D17/52.143)/37</f>
        <v>14.254977605762946</v>
      </c>
      <c r="H17" s="322">
        <f>SUM($D17/52.143)/37*1.1381</f>
        <v>16.223590013118805</v>
      </c>
      <c r="I17" s="311"/>
      <c r="J17" s="311">
        <f>'April 24'!C17</f>
        <v>24790</v>
      </c>
      <c r="K17" s="143">
        <f>_xlfn.XLOOKUP(B17,'2025 Circular'!A:A,'2025 Circular'!D:D,"",0)</f>
        <v>25583</v>
      </c>
      <c r="L17" s="413">
        <f>_xlfn.XLOOKUP(B17,'2025 Circular'!A:A,'2025 Circular'!E:E,"",0)</f>
        <v>13.26</v>
      </c>
      <c r="M17" s="26" t="b">
        <f t="shared" si="2"/>
        <v>1</v>
      </c>
      <c r="N17" s="414">
        <f t="shared" si="3"/>
        <v>3.1988705123033478E-2</v>
      </c>
      <c r="O17" s="414">
        <f t="shared" si="4"/>
        <v>3.2008705767571033E-2</v>
      </c>
    </row>
    <row r="18" spans="1:15" ht="15" thickBot="1" x14ac:dyDescent="0.4">
      <c r="A18" s="6"/>
      <c r="B18" s="344">
        <v>6</v>
      </c>
      <c r="C18" s="182">
        <v>25989</v>
      </c>
      <c r="D18" s="178">
        <f>ROUND((C18*1.075),0)</f>
        <v>27938</v>
      </c>
      <c r="E18" s="159">
        <f>D18/12</f>
        <v>2328.1666666666665</v>
      </c>
      <c r="F18" s="160">
        <f>SUM(D18/52.143)</f>
        <v>535.79579234029495</v>
      </c>
      <c r="G18" s="172">
        <f>SUM($D18/52.143)/37</f>
        <v>14.480967360548512</v>
      </c>
      <c r="H18" s="333">
        <f>SUM($D18/52.143)/37*1.1381</f>
        <v>16.48078895304026</v>
      </c>
      <c r="I18" s="311"/>
      <c r="J18" s="311">
        <f>'April 24'!C18</f>
        <v>25183</v>
      </c>
      <c r="K18" s="143">
        <f>_xlfn.XLOOKUP(B18,'2025 Circular'!A:A,'2025 Circular'!D:D,"",0)</f>
        <v>25989</v>
      </c>
      <c r="L18" s="413">
        <f>_xlfn.XLOOKUP(B18,'2025 Circular'!A:A,'2025 Circular'!E:E,"",0)</f>
        <v>13.47</v>
      </c>
      <c r="M18" s="26" t="b">
        <f t="shared" si="2"/>
        <v>1</v>
      </c>
      <c r="N18" s="414">
        <f t="shared" si="3"/>
        <v>3.2005718143191836E-2</v>
      </c>
      <c r="O18" s="414">
        <f t="shared" si="4"/>
        <v>3.1988770685579308E-2</v>
      </c>
    </row>
    <row r="19" spans="1:15" ht="15" thickBot="1" x14ac:dyDescent="0.4">
      <c r="A19" s="76"/>
      <c r="B19" s="277" t="s">
        <v>16</v>
      </c>
      <c r="C19" s="292"/>
      <c r="D19" s="292"/>
      <c r="E19" s="289"/>
      <c r="F19" s="289"/>
      <c r="G19" s="290"/>
      <c r="H19" s="293"/>
      <c r="I19" s="311"/>
      <c r="J19" s="311"/>
      <c r="K19" s="143" t="str">
        <f>_xlfn.XLOOKUP(B19,'2025 Circular'!A:A,'2025 Circular'!D:D,"",0)</f>
        <v/>
      </c>
      <c r="L19" s="413" t="str">
        <f>_xlfn.XLOOKUP(B19,'2025 Circular'!A:A,'2025 Circular'!E:E,"",0)</f>
        <v/>
      </c>
      <c r="M19" s="26"/>
      <c r="N19" s="414"/>
      <c r="O19" s="414"/>
    </row>
    <row r="20" spans="1:15" x14ac:dyDescent="0.35">
      <c r="A20" s="6"/>
      <c r="B20" s="342">
        <v>7</v>
      </c>
      <c r="C20" s="180">
        <v>26403</v>
      </c>
      <c r="D20" s="180">
        <f>ROUND((C20*1.075),0)</f>
        <v>28383</v>
      </c>
      <c r="E20" s="157">
        <f>D20/12</f>
        <v>2365.25</v>
      </c>
      <c r="F20" s="158">
        <f>SUM(D20/52.143)</f>
        <v>544.33001553420399</v>
      </c>
      <c r="G20" s="170">
        <f>SUM($D20/52.143)/37</f>
        <v>14.711622041464972</v>
      </c>
      <c r="H20" s="328">
        <f>SUM($D20/52.143)/37*1.1381</f>
        <v>16.743297045391284</v>
      </c>
      <c r="I20" s="311"/>
      <c r="J20" s="311">
        <f>'April 24'!C20</f>
        <v>25584</v>
      </c>
      <c r="K20" s="143">
        <f>_xlfn.XLOOKUP(B20,'2025 Circular'!A:A,'2025 Circular'!D:D,"",0)</f>
        <v>26403</v>
      </c>
      <c r="L20" s="413">
        <f>_xlfn.XLOOKUP(B20,'2025 Circular'!A:A,'2025 Circular'!E:E,"",0)</f>
        <v>13.69</v>
      </c>
      <c r="M20" s="26" t="b">
        <f t="shared" si="2"/>
        <v>1</v>
      </c>
      <c r="N20" s="414">
        <f t="shared" si="3"/>
        <v>3.201219512195122E-2</v>
      </c>
      <c r="O20" s="414">
        <f t="shared" si="4"/>
        <v>3.1996509471693996E-2</v>
      </c>
    </row>
    <row r="21" spans="1:15" x14ac:dyDescent="0.35">
      <c r="A21" s="6"/>
      <c r="B21" s="342">
        <v>8</v>
      </c>
      <c r="C21" s="175">
        <v>26824</v>
      </c>
      <c r="D21" s="175">
        <f>ROUND((C21*1.075),0)</f>
        <v>28836</v>
      </c>
      <c r="E21" s="149">
        <f>D21/12</f>
        <v>2403</v>
      </c>
      <c r="F21" s="150">
        <f>SUM(D21/52.143)</f>
        <v>553.01766296530695</v>
      </c>
      <c r="G21" s="161">
        <f>SUM($D21/52.143)/37</f>
        <v>14.946423323386675</v>
      </c>
      <c r="H21" s="329">
        <f>SUM($D21/52.143)/37*1.1381</f>
        <v>17.010524384346372</v>
      </c>
      <c r="I21" s="311"/>
      <c r="J21" s="311">
        <f>'April 24'!C21</f>
        <v>25992</v>
      </c>
      <c r="K21" s="143">
        <f>_xlfn.XLOOKUP(B21,'2025 Circular'!A:A,'2025 Circular'!D:D,"",0)</f>
        <v>26824</v>
      </c>
      <c r="L21" s="413">
        <f>_xlfn.XLOOKUP(B21,'2025 Circular'!A:A,'2025 Circular'!E:E,"",0)</f>
        <v>13.9</v>
      </c>
      <c r="M21" s="26" t="b">
        <f t="shared" si="2"/>
        <v>1</v>
      </c>
      <c r="N21" s="414">
        <f t="shared" si="3"/>
        <v>3.200984918436442E-2</v>
      </c>
      <c r="O21" s="414">
        <f t="shared" si="4"/>
        <v>3.2031781253355353E-2</v>
      </c>
    </row>
    <row r="22" spans="1:15" x14ac:dyDescent="0.35">
      <c r="A22" s="6"/>
      <c r="B22" s="342">
        <v>9</v>
      </c>
      <c r="C22" s="175">
        <v>27254</v>
      </c>
      <c r="D22" s="175">
        <f>ROUND((C22*1.075),0)</f>
        <v>29298</v>
      </c>
      <c r="E22" s="149">
        <f>D22/12</f>
        <v>2441.5</v>
      </c>
      <c r="F22" s="150">
        <f>SUM(D22/52.143)</f>
        <v>561.87791266325291</v>
      </c>
      <c r="G22" s="161">
        <f>SUM($D22/52.143)/37</f>
        <v>15.185889531439267</v>
      </c>
      <c r="H22" s="329">
        <f>SUM($D22/52.143)/37*1.1381</f>
        <v>17.283060875731028</v>
      </c>
      <c r="I22" s="311"/>
      <c r="J22" s="311">
        <f>'April 24'!C22</f>
        <v>26409</v>
      </c>
      <c r="K22" s="143">
        <f>_xlfn.XLOOKUP(B22,'2025 Circular'!A:A,'2025 Circular'!D:D,"",0)</f>
        <v>27254</v>
      </c>
      <c r="L22" s="413">
        <f>_xlfn.XLOOKUP(B22,'2025 Circular'!A:A,'2025 Circular'!E:E,"",0)</f>
        <v>14.13</v>
      </c>
      <c r="M22" s="26" t="b">
        <f t="shared" si="2"/>
        <v>1</v>
      </c>
      <c r="N22" s="414">
        <f t="shared" si="3"/>
        <v>3.1996667802643042E-2</v>
      </c>
      <c r="O22" s="414">
        <f t="shared" si="4"/>
        <v>3.1983092638252823E-2</v>
      </c>
    </row>
    <row r="23" spans="1:15" x14ac:dyDescent="0.35">
      <c r="A23" s="6"/>
      <c r="B23" s="345">
        <v>10</v>
      </c>
      <c r="C23" s="223">
        <v>27694</v>
      </c>
      <c r="D23" s="223">
        <f>ROUND((C23*1.075),0)</f>
        <v>29771</v>
      </c>
      <c r="E23" s="151">
        <f>D23/12</f>
        <v>2480.9166666666665</v>
      </c>
      <c r="F23" s="152">
        <f>SUM(D23/52.143)</f>
        <v>570.94912068734061</v>
      </c>
      <c r="G23" s="163">
        <f>SUM($D23/52.143)/37</f>
        <v>15.431057315874071</v>
      </c>
      <c r="H23" s="322">
        <f>SUM($D23/52.143)/37*1.1381</f>
        <v>17.56208633119628</v>
      </c>
      <c r="I23" s="311"/>
      <c r="J23" s="311">
        <f>'April 24'!C23</f>
        <v>26835</v>
      </c>
      <c r="K23" s="143">
        <f>_xlfn.XLOOKUP(B23,'2025 Circular'!A:A,'2025 Circular'!D:D,"",0)</f>
        <v>27694</v>
      </c>
      <c r="L23" s="413">
        <f>_xlfn.XLOOKUP(B23,'2025 Circular'!A:A,'2025 Circular'!E:E,"",0)</f>
        <v>14.35</v>
      </c>
      <c r="M23" s="26" t="b">
        <f t="shared" si="2"/>
        <v>1</v>
      </c>
      <c r="N23" s="414">
        <f t="shared" si="3"/>
        <v>3.2010434134525804E-2</v>
      </c>
      <c r="O23" s="414">
        <f t="shared" si="4"/>
        <v>3.1995285635052675E-2</v>
      </c>
    </row>
    <row r="24" spans="1:15" ht="15" thickBot="1" x14ac:dyDescent="0.4">
      <c r="A24" s="6"/>
      <c r="B24" s="344">
        <v>11</v>
      </c>
      <c r="C24" s="182">
        <v>28142</v>
      </c>
      <c r="D24" s="178">
        <f>ROUND((C24*1.075),0)</f>
        <v>30253</v>
      </c>
      <c r="E24" s="159">
        <f>D24/12</f>
        <v>2521.0833333333335</v>
      </c>
      <c r="F24" s="160">
        <f>SUM(D24/52.143)</f>
        <v>580.19293097827131</v>
      </c>
      <c r="G24" s="172">
        <f>SUM($D24/52.143)/37</f>
        <v>15.680890026439766</v>
      </c>
      <c r="H24" s="333">
        <f>SUM($D24/52.143)/37*1.1381</f>
        <v>17.846420939091097</v>
      </c>
      <c r="I24" s="311"/>
      <c r="J24" s="311">
        <f>'April 24'!C24</f>
        <v>27269</v>
      </c>
      <c r="K24" s="143">
        <f>_xlfn.XLOOKUP(B24,'2025 Circular'!A:A,'2025 Circular'!D:D,"",0)</f>
        <v>28142</v>
      </c>
      <c r="L24" s="413">
        <f>_xlfn.XLOOKUP(B24,'2025 Circular'!A:A,'2025 Circular'!E:E,"",0)</f>
        <v>14.59</v>
      </c>
      <c r="M24" s="26" t="b">
        <f t="shared" si="2"/>
        <v>1</v>
      </c>
      <c r="N24" s="414">
        <f t="shared" si="3"/>
        <v>3.2014375297957386E-2</v>
      </c>
      <c r="O24" s="414">
        <f t="shared" si="4"/>
        <v>3.2032475950057981E-2</v>
      </c>
    </row>
    <row r="25" spans="1:15" ht="15" thickBot="1" x14ac:dyDescent="0.4">
      <c r="A25" s="76"/>
      <c r="B25" s="277" t="s">
        <v>17</v>
      </c>
      <c r="C25" s="292"/>
      <c r="D25" s="292"/>
      <c r="E25" s="289"/>
      <c r="F25" s="289"/>
      <c r="G25" s="290"/>
      <c r="H25" s="293"/>
      <c r="I25" s="311"/>
      <c r="J25" s="311"/>
      <c r="K25" s="143" t="str">
        <f>_xlfn.XLOOKUP(B25,'2025 Circular'!A:A,'2025 Circular'!D:D,"",0)</f>
        <v/>
      </c>
      <c r="L25" s="413" t="str">
        <f>_xlfn.XLOOKUP(B25,'2025 Circular'!A:A,'2025 Circular'!E:E,"",0)</f>
        <v/>
      </c>
      <c r="M25" s="26"/>
      <c r="N25" s="414"/>
      <c r="O25" s="414"/>
    </row>
    <row r="26" spans="1:15" x14ac:dyDescent="0.35">
      <c r="A26" s="6"/>
      <c r="B26" s="342">
        <v>12</v>
      </c>
      <c r="C26" s="180">
        <v>28598</v>
      </c>
      <c r="D26" s="180">
        <f t="shared" ref="D26:D31" si="6">ROUND((C26*1.075),0)</f>
        <v>30743</v>
      </c>
      <c r="E26" s="157">
        <f t="shared" ref="E26:E31" si="7">D26/12</f>
        <v>2561.9166666666665</v>
      </c>
      <c r="F26" s="158">
        <f t="shared" ref="F26:F31" si="8">SUM(D26/52.143)</f>
        <v>589.59016550639592</v>
      </c>
      <c r="G26" s="170">
        <f t="shared" ref="G26:G31" si="9">SUM($D26/52.143)/37</f>
        <v>15.934869338010701</v>
      </c>
      <c r="H26" s="328">
        <f t="shared" ref="H26:H31" si="10">SUM($D26/52.143)/37*1.1381</f>
        <v>18.135474793589978</v>
      </c>
      <c r="I26" s="311"/>
      <c r="J26" s="311">
        <f>'April 24'!C26</f>
        <v>27711</v>
      </c>
      <c r="K26" s="143">
        <f>_xlfn.XLOOKUP(B26,'2025 Circular'!A:A,'2025 Circular'!D:D,"",0)</f>
        <v>28598</v>
      </c>
      <c r="L26" s="413">
        <f>_xlfn.XLOOKUP(B26,'2025 Circular'!A:A,'2025 Circular'!E:E,"",0)</f>
        <v>14.82</v>
      </c>
      <c r="M26" s="26" t="b">
        <f t="shared" si="2"/>
        <v>1</v>
      </c>
      <c r="N26" s="414">
        <f t="shared" si="3"/>
        <v>3.2008949514633178E-2</v>
      </c>
      <c r="O26" s="414">
        <f t="shared" si="4"/>
        <v>3.2025244217664298E-2</v>
      </c>
    </row>
    <row r="27" spans="1:15" x14ac:dyDescent="0.35">
      <c r="A27" s="6"/>
      <c r="B27" s="342">
        <v>13</v>
      </c>
      <c r="C27" s="175">
        <v>29064</v>
      </c>
      <c r="D27" s="175">
        <f t="shared" si="6"/>
        <v>31244</v>
      </c>
      <c r="E27" s="149">
        <f t="shared" si="7"/>
        <v>2603.6666666666665</v>
      </c>
      <c r="F27" s="150">
        <f t="shared" si="8"/>
        <v>599.19835836066204</v>
      </c>
      <c r="G27" s="161">
        <f t="shared" si="9"/>
        <v>16.194550225963837</v>
      </c>
      <c r="H27" s="329">
        <f t="shared" si="10"/>
        <v>18.431017612169441</v>
      </c>
      <c r="I27" s="311"/>
      <c r="J27" s="311">
        <f>'April 24'!C27</f>
        <v>28163</v>
      </c>
      <c r="K27" s="143">
        <f>_xlfn.XLOOKUP(B27,'2025 Circular'!A:A,'2025 Circular'!D:D,"",0)</f>
        <v>29064</v>
      </c>
      <c r="L27" s="413">
        <f>_xlfn.XLOOKUP(B27,'2025 Circular'!A:A,'2025 Circular'!E:E,"",0)</f>
        <v>15.06</v>
      </c>
      <c r="M27" s="26" t="b">
        <f t="shared" si="2"/>
        <v>1</v>
      </c>
      <c r="N27" s="414">
        <f t="shared" si="3"/>
        <v>3.1992330362532399E-2</v>
      </c>
      <c r="O27" s="414">
        <f t="shared" si="4"/>
        <v>3.2006606110652251E-2</v>
      </c>
    </row>
    <row r="28" spans="1:15" x14ac:dyDescent="0.35">
      <c r="A28" s="6"/>
      <c r="B28" s="342">
        <v>14</v>
      </c>
      <c r="C28" s="175">
        <v>29540</v>
      </c>
      <c r="D28" s="175">
        <f t="shared" si="6"/>
        <v>31756</v>
      </c>
      <c r="E28" s="149">
        <f t="shared" si="7"/>
        <v>2646.3333333333335</v>
      </c>
      <c r="F28" s="150">
        <f t="shared" si="8"/>
        <v>609.01750954106978</v>
      </c>
      <c r="G28" s="161">
        <f t="shared" si="9"/>
        <v>16.459932690299183</v>
      </c>
      <c r="H28" s="329">
        <f t="shared" si="10"/>
        <v>18.7330493948295</v>
      </c>
      <c r="I28" s="311"/>
      <c r="J28" s="311">
        <f>'April 24'!C28</f>
        <v>28624</v>
      </c>
      <c r="K28" s="143">
        <f>_xlfn.XLOOKUP(B28,'2025 Circular'!A:A,'2025 Circular'!D:D,"",0)</f>
        <v>29540</v>
      </c>
      <c r="L28" s="413">
        <f>_xlfn.XLOOKUP(B28,'2025 Circular'!A:A,'2025 Circular'!E:E,"",0)</f>
        <v>15.31</v>
      </c>
      <c r="M28" s="26" t="b">
        <f t="shared" si="2"/>
        <v>1</v>
      </c>
      <c r="N28" s="414">
        <f t="shared" si="3"/>
        <v>3.2001117942984908E-2</v>
      </c>
      <c r="O28" s="414">
        <f t="shared" si="4"/>
        <v>3.2010659387085257E-2</v>
      </c>
    </row>
    <row r="29" spans="1:15" x14ac:dyDescent="0.35">
      <c r="A29" s="6"/>
      <c r="B29" s="342">
        <v>15</v>
      </c>
      <c r="C29" s="175">
        <v>30024</v>
      </c>
      <c r="D29" s="175">
        <f t="shared" si="6"/>
        <v>32276</v>
      </c>
      <c r="E29" s="149">
        <f t="shared" si="7"/>
        <v>2689.6666666666665</v>
      </c>
      <c r="F29" s="150">
        <f t="shared" si="8"/>
        <v>618.99008495867133</v>
      </c>
      <c r="G29" s="161">
        <f t="shared" si="9"/>
        <v>16.729461755639765</v>
      </c>
      <c r="H29" s="329">
        <f t="shared" si="10"/>
        <v>19.039800424093613</v>
      </c>
      <c r="I29" s="311"/>
      <c r="J29" s="311">
        <f>'April 24'!C29</f>
        <v>29093</v>
      </c>
      <c r="K29" s="143">
        <f>_xlfn.XLOOKUP(B29,'2025 Circular'!A:A,'2025 Circular'!D:D,"",0)</f>
        <v>30024</v>
      </c>
      <c r="L29" s="413">
        <f>_xlfn.XLOOKUP(B29,'2025 Circular'!A:A,'2025 Circular'!E:E,"",0)</f>
        <v>15.56</v>
      </c>
      <c r="M29" s="26" t="b">
        <f t="shared" si="2"/>
        <v>1</v>
      </c>
      <c r="N29" s="414">
        <f t="shared" si="3"/>
        <v>3.2000824940707384E-2</v>
      </c>
      <c r="O29" s="414">
        <f t="shared" si="4"/>
        <v>3.2006394884092633E-2</v>
      </c>
    </row>
    <row r="30" spans="1:15" x14ac:dyDescent="0.35">
      <c r="A30" s="6"/>
      <c r="B30" s="342">
        <v>16</v>
      </c>
      <c r="C30" s="223">
        <v>30518</v>
      </c>
      <c r="D30" s="223">
        <f t="shared" si="6"/>
        <v>32807</v>
      </c>
      <c r="E30" s="151">
        <f t="shared" si="7"/>
        <v>2733.9166666666665</v>
      </c>
      <c r="F30" s="152">
        <f t="shared" si="8"/>
        <v>629.1736187024145</v>
      </c>
      <c r="G30" s="163">
        <f t="shared" si="9"/>
        <v>17.004692397362554</v>
      </c>
      <c r="H30" s="322">
        <f t="shared" si="10"/>
        <v>19.353040417438322</v>
      </c>
      <c r="I30" s="311"/>
      <c r="J30" s="311">
        <f>'April 24'!C30</f>
        <v>29572</v>
      </c>
      <c r="K30" s="143">
        <f>_xlfn.XLOOKUP(B30,'2025 Circular'!A:A,'2025 Circular'!D:D,"",0)</f>
        <v>30518</v>
      </c>
      <c r="L30" s="413">
        <f>_xlfn.XLOOKUP(B30,'2025 Circular'!A:A,'2025 Circular'!E:E,"",0)</f>
        <v>15.82</v>
      </c>
      <c r="M30" s="26" t="b">
        <f t="shared" si="2"/>
        <v>1</v>
      </c>
      <c r="N30" s="414">
        <f t="shared" si="3"/>
        <v>3.1989720005410525E-2</v>
      </c>
      <c r="O30" s="414">
        <f t="shared" si="4"/>
        <v>3.1991192198804461E-2</v>
      </c>
    </row>
    <row r="31" spans="1:15" ht="15" thickBot="1" x14ac:dyDescent="0.4">
      <c r="A31" s="6"/>
      <c r="B31" s="345">
        <v>17</v>
      </c>
      <c r="C31" s="182">
        <v>31022</v>
      </c>
      <c r="D31" s="182">
        <f t="shared" si="6"/>
        <v>33349</v>
      </c>
      <c r="E31" s="159">
        <f t="shared" si="7"/>
        <v>2779.0833333333335</v>
      </c>
      <c r="F31" s="160">
        <f t="shared" si="8"/>
        <v>639.56811077229929</v>
      </c>
      <c r="G31" s="172">
        <f t="shared" si="9"/>
        <v>17.285624615467547</v>
      </c>
      <c r="H31" s="333">
        <f t="shared" si="10"/>
        <v>19.672769374863613</v>
      </c>
      <c r="I31" s="311"/>
      <c r="J31" s="311">
        <f>'April 24'!C31</f>
        <v>30060</v>
      </c>
      <c r="K31" s="143">
        <f>_xlfn.XLOOKUP(B31,'2025 Circular'!A:A,'2025 Circular'!D:D,"",0)</f>
        <v>31022</v>
      </c>
      <c r="L31" s="413">
        <f>_xlfn.XLOOKUP(B31,'2025 Circular'!A:A,'2025 Circular'!E:E,"",0)</f>
        <v>16.079999999999998</v>
      </c>
      <c r="M31" s="26" t="b">
        <f t="shared" si="2"/>
        <v>1</v>
      </c>
      <c r="N31" s="414">
        <f t="shared" si="3"/>
        <v>3.2002661343978708E-2</v>
      </c>
      <c r="O31" s="414">
        <f t="shared" si="4"/>
        <v>3.1997524369487711E-2</v>
      </c>
    </row>
    <row r="32" spans="1:15" ht="15" thickBot="1" x14ac:dyDescent="0.4">
      <c r="A32" s="76"/>
      <c r="B32" s="277" t="s">
        <v>18</v>
      </c>
      <c r="C32" s="292"/>
      <c r="D32" s="292"/>
      <c r="E32" s="289"/>
      <c r="F32" s="289"/>
      <c r="G32" s="290"/>
      <c r="H32" s="293"/>
      <c r="I32" s="311"/>
      <c r="J32" s="311"/>
      <c r="K32" s="143" t="str">
        <f>_xlfn.XLOOKUP(B32,'2025 Circular'!A:A,'2025 Circular'!D:D,"",0)</f>
        <v/>
      </c>
      <c r="L32" s="413" t="str">
        <f>_xlfn.XLOOKUP(B32,'2025 Circular'!A:A,'2025 Circular'!E:E,"",0)</f>
        <v/>
      </c>
      <c r="M32" s="26"/>
      <c r="N32" s="414"/>
      <c r="O32" s="414"/>
    </row>
    <row r="33" spans="1:16" s="1" customFormat="1" ht="15.75" customHeight="1" x14ac:dyDescent="0.35">
      <c r="B33" s="346">
        <v>18</v>
      </c>
      <c r="C33" s="339">
        <v>31537</v>
      </c>
      <c r="D33" s="296">
        <f>ROUND((C33*1.075),0)</f>
        <v>33902</v>
      </c>
      <c r="E33" s="297">
        <f>D33/12</f>
        <v>2825.1666666666665</v>
      </c>
      <c r="F33" s="297">
        <f>SUM(D33/52.143)</f>
        <v>650.17356116832559</v>
      </c>
      <c r="G33" s="298">
        <f>SUM($D33/52.143)/37</f>
        <v>17.572258409954745</v>
      </c>
      <c r="H33" s="336">
        <f>SUM($D33/52.143)/37*1.1381</f>
        <v>19.998987296369492</v>
      </c>
      <c r="I33" s="311"/>
      <c r="J33" s="311">
        <f>'April 24'!C33</f>
        <v>30559</v>
      </c>
      <c r="K33" s="143">
        <f>_xlfn.XLOOKUP(B33,'2025 Circular'!A:A,'2025 Circular'!D:D,"",0)</f>
        <v>31537</v>
      </c>
      <c r="L33" s="413">
        <f>_xlfn.XLOOKUP(B33,'2025 Circular'!A:A,'2025 Circular'!E:E,"",0)</f>
        <v>16.350000000000001</v>
      </c>
      <c r="M33" s="26" t="b">
        <f t="shared" si="2"/>
        <v>1</v>
      </c>
      <c r="N33" s="414">
        <f t="shared" si="3"/>
        <v>3.2003665041395332E-2</v>
      </c>
      <c r="O33" s="414">
        <f t="shared" si="4"/>
        <v>3.1992937810112448E-2</v>
      </c>
    </row>
    <row r="34" spans="1:16" x14ac:dyDescent="0.35">
      <c r="A34" s="6"/>
      <c r="B34" s="342">
        <v>19</v>
      </c>
      <c r="C34" s="180">
        <v>32061</v>
      </c>
      <c r="D34" s="180">
        <f>ROUND((C34*1.075),0)</f>
        <v>34466</v>
      </c>
      <c r="E34" s="157">
        <f>D34/12</f>
        <v>2872.1666666666665</v>
      </c>
      <c r="F34" s="158">
        <f>SUM(D34/52.143)</f>
        <v>660.9899698904934</v>
      </c>
      <c r="G34" s="170">
        <f>SUM($D34/52.143)/37</f>
        <v>17.864593780824144</v>
      </c>
      <c r="H34" s="328">
        <f>SUM($D34/52.143)/37*1.1381</f>
        <v>20.331694181955957</v>
      </c>
      <c r="I34" s="311"/>
      <c r="J34" s="311">
        <f>'April 24'!C34</f>
        <v>31067</v>
      </c>
      <c r="K34" s="143">
        <f>_xlfn.XLOOKUP(B34,'2025 Circular'!A:A,'2025 Circular'!D:D,"",0)</f>
        <v>32061</v>
      </c>
      <c r="L34" s="413">
        <f>_xlfn.XLOOKUP(B34,'2025 Circular'!A:A,'2025 Circular'!E:E,"",0)</f>
        <v>16.62</v>
      </c>
      <c r="M34" s="26" t="b">
        <f t="shared" si="2"/>
        <v>1</v>
      </c>
      <c r="N34" s="414">
        <f t="shared" si="3"/>
        <v>3.1995364856600254E-2</v>
      </c>
      <c r="O34" s="414">
        <f t="shared" si="4"/>
        <v>3.2008863071533278E-2</v>
      </c>
    </row>
    <row r="35" spans="1:16" x14ac:dyDescent="0.35">
      <c r="A35" s="6"/>
      <c r="B35" s="342">
        <v>20</v>
      </c>
      <c r="C35" s="175">
        <v>32597</v>
      </c>
      <c r="D35" s="175">
        <f>ROUND((C35*1.075),0)</f>
        <v>35042</v>
      </c>
      <c r="E35" s="149">
        <f>D35/12</f>
        <v>2920.1666666666665</v>
      </c>
      <c r="F35" s="150">
        <f>SUM(D35/52.143)</f>
        <v>672.03651496845214</v>
      </c>
      <c r="G35" s="161">
        <f>SUM($D35/52.143)/37</f>
        <v>18.163149053201408</v>
      </c>
      <c r="H35" s="329">
        <f>SUM($D35/52.143)/37*1.1381</f>
        <v>20.67147993744852</v>
      </c>
      <c r="I35" s="311"/>
      <c r="J35" s="311">
        <f>'April 24'!C35</f>
        <v>31586</v>
      </c>
      <c r="K35" s="143">
        <f>_xlfn.XLOOKUP(B35,'2025 Circular'!A:A,'2025 Circular'!D:D,"",0)</f>
        <v>32597</v>
      </c>
      <c r="L35" s="413">
        <f>_xlfn.XLOOKUP(B35,'2025 Circular'!A:A,'2025 Circular'!E:E,"",0)</f>
        <v>16.899999999999999</v>
      </c>
      <c r="M35" s="26" t="b">
        <f t="shared" si="2"/>
        <v>1</v>
      </c>
      <c r="N35" s="414">
        <f t="shared" si="3"/>
        <v>3.200785157981384E-2</v>
      </c>
      <c r="O35" s="414">
        <f t="shared" si="4"/>
        <v>3.2012958327197659E-2</v>
      </c>
    </row>
    <row r="36" spans="1:16" x14ac:dyDescent="0.35">
      <c r="A36" s="6"/>
      <c r="B36" s="345">
        <v>21</v>
      </c>
      <c r="C36" s="223">
        <v>33143</v>
      </c>
      <c r="D36" s="223">
        <f>ROUND((C36*1.075),0)</f>
        <v>35629</v>
      </c>
      <c r="E36" s="151">
        <f>D36/12</f>
        <v>2969.0833333333335</v>
      </c>
      <c r="F36" s="152">
        <f>SUM(D36/52.143)</f>
        <v>683.29401837255239</v>
      </c>
      <c r="G36" s="163">
        <f>SUM($D36/52.143)/37</f>
        <v>18.467405901960877</v>
      </c>
      <c r="H36" s="322">
        <f>SUM($D36/52.143)/37*1.1381</f>
        <v>21.017754657021673</v>
      </c>
      <c r="I36" s="311"/>
      <c r="J36" s="311">
        <f>'April 24'!C36</f>
        <v>32115</v>
      </c>
      <c r="K36" s="143">
        <f>_xlfn.XLOOKUP(B36,'2025 Circular'!A:A,'2025 Circular'!D:D,"",0)</f>
        <v>33143</v>
      </c>
      <c r="L36" s="413">
        <f>_xlfn.XLOOKUP(B36,'2025 Circular'!A:A,'2025 Circular'!E:E,"",0)</f>
        <v>17.18</v>
      </c>
      <c r="M36" s="26" t="b">
        <f t="shared" si="2"/>
        <v>1</v>
      </c>
      <c r="N36" s="414">
        <f t="shared" si="3"/>
        <v>3.2009964191187922E-2</v>
      </c>
      <c r="O36" s="414">
        <f t="shared" si="4"/>
        <v>3.2006719962924438E-2</v>
      </c>
    </row>
    <row r="37" spans="1:16" ht="15" thickBot="1" x14ac:dyDescent="0.4">
      <c r="A37" s="6"/>
      <c r="B37" s="344">
        <v>22</v>
      </c>
      <c r="C37" s="182">
        <v>33699</v>
      </c>
      <c r="D37" s="182">
        <f>ROUND((C37*1.075),0)</f>
        <v>36226</v>
      </c>
      <c r="E37" s="159">
        <f>D37/12</f>
        <v>3018.8333333333335</v>
      </c>
      <c r="F37" s="160">
        <f>SUM(D37/52.143)</f>
        <v>694.74330207314495</v>
      </c>
      <c r="G37" s="172">
        <f>SUM($D37/52.143)/37</f>
        <v>18.776846001976889</v>
      </c>
      <c r="H37" s="333">
        <f>SUM($D37/52.143)/37*1.1381</f>
        <v>21.369928434849896</v>
      </c>
      <c r="I37" s="311"/>
      <c r="J37" s="311">
        <f>'April 24'!C37</f>
        <v>32654</v>
      </c>
      <c r="K37" s="143">
        <f>_xlfn.XLOOKUP(B37,'2025 Circular'!A:A,'2025 Circular'!D:D,"",0)</f>
        <v>33699</v>
      </c>
      <c r="L37" s="413">
        <f>_xlfn.XLOOKUP(B37,'2025 Circular'!A:A,'2025 Circular'!E:E,"",0)</f>
        <v>17.47</v>
      </c>
      <c r="M37" s="26" t="b">
        <f t="shared" si="2"/>
        <v>1</v>
      </c>
      <c r="N37" s="414">
        <f t="shared" si="3"/>
        <v>3.2002204936608075E-2</v>
      </c>
      <c r="O37" s="414">
        <f t="shared" si="4"/>
        <v>3.1991567672278412E-2</v>
      </c>
    </row>
    <row r="38" spans="1:16" ht="15" thickBot="1" x14ac:dyDescent="0.4">
      <c r="A38" s="6"/>
      <c r="B38" s="345"/>
      <c r="C38" s="64"/>
      <c r="D38" s="64"/>
      <c r="E38" s="65"/>
      <c r="F38" s="65"/>
      <c r="G38" s="65"/>
      <c r="H38" s="66"/>
      <c r="I38" s="311"/>
      <c r="J38" s="311"/>
      <c r="K38" s="143"/>
      <c r="L38" s="413"/>
      <c r="M38" s="26"/>
      <c r="N38" s="414"/>
      <c r="O38" s="414"/>
    </row>
    <row r="39" spans="1:16" x14ac:dyDescent="0.35">
      <c r="B39" s="360" t="s">
        <v>22</v>
      </c>
      <c r="C39" s="347"/>
      <c r="D39" s="348"/>
      <c r="E39" s="349" t="s">
        <v>49</v>
      </c>
      <c r="F39" s="350"/>
      <c r="G39" s="351" t="s">
        <v>21</v>
      </c>
      <c r="H39" s="416" t="s">
        <v>48</v>
      </c>
      <c r="I39" s="311"/>
      <c r="J39" s="311"/>
      <c r="K39" s="143" t="str">
        <f>_xlfn.XLOOKUP(B39,'2025 Circular'!A:A,'2025 Circular'!D:D,"",0)</f>
        <v/>
      </c>
      <c r="L39" s="413" t="str">
        <f>_xlfn.XLOOKUP(B39,'2025 Circular'!A:A,'2025 Circular'!E:E,"",0)</f>
        <v/>
      </c>
      <c r="M39" s="26"/>
      <c r="N39" s="414"/>
      <c r="O39" s="414"/>
    </row>
    <row r="40" spans="1:16" ht="15" thickBot="1" x14ac:dyDescent="0.4">
      <c r="A40" s="1"/>
      <c r="B40" s="394">
        <v>8</v>
      </c>
      <c r="C40" s="182">
        <f>C21</f>
        <v>26824</v>
      </c>
      <c r="D40" s="182">
        <v>729</v>
      </c>
      <c r="E40" s="159">
        <f>C40+D40</f>
        <v>27553</v>
      </c>
      <c r="F40" s="160"/>
      <c r="G40" s="172">
        <f>E40/52.143/37</f>
        <v>14.281412187171348</v>
      </c>
      <c r="H40" s="333">
        <f>E40/52.143/37*1.1381</f>
        <v>16.253675210219711</v>
      </c>
      <c r="I40" s="311"/>
      <c r="J40" s="311">
        <f>'April 24'!C40</f>
        <v>25992</v>
      </c>
      <c r="K40" s="143">
        <f>_xlfn.XLOOKUP(B40,'2025 Circular'!A:A,'2025 Circular'!D:D,"",0)</f>
        <v>26824</v>
      </c>
      <c r="L40" s="413">
        <f>_xlfn.XLOOKUP(B40,'2025 Circular'!A:A,'2025 Circular'!E:E,"",0)</f>
        <v>13.9</v>
      </c>
      <c r="M40" s="26" t="b">
        <f t="shared" si="2"/>
        <v>1</v>
      </c>
      <c r="N40" s="414">
        <f>(K40-J40)/J40</f>
        <v>3.200984918436442E-2</v>
      </c>
      <c r="O40" s="414">
        <f>(G40-SUM(ROUND($J40+'April 24'!D40,2)/52.143)/37)/(SUM(ROUND($J40+'April 24'!D40,2)/52.143)/37)</f>
        <v>3.2024870776837217E-2</v>
      </c>
      <c r="P40" s="383"/>
    </row>
    <row r="41" spans="1:16" x14ac:dyDescent="0.35">
      <c r="A41" s="1"/>
      <c r="B41" s="70" t="s">
        <v>87</v>
      </c>
      <c r="C41" s="5"/>
      <c r="D41" s="5"/>
      <c r="E41" s="1"/>
      <c r="F41" s="1"/>
      <c r="G41" s="1"/>
      <c r="H41" s="1"/>
      <c r="I41" s="1"/>
      <c r="J41" s="311"/>
      <c r="K41" s="1"/>
      <c r="L41" s="413"/>
    </row>
    <row r="42" spans="1:16" x14ac:dyDescent="0.35">
      <c r="A42" s="70" t="s">
        <v>47</v>
      </c>
      <c r="C42" s="71"/>
      <c r="D42" s="71"/>
      <c r="E42" s="72"/>
      <c r="F42" s="72"/>
      <c r="G42" s="73"/>
      <c r="H42" s="74"/>
      <c r="I42" s="74"/>
      <c r="J42" s="311"/>
      <c r="K42" s="2"/>
      <c r="L42" s="413"/>
      <c r="P42" s="413"/>
    </row>
    <row r="43" spans="1:16" x14ac:dyDescent="0.35">
      <c r="A43" s="76"/>
      <c r="B43" s="76"/>
      <c r="C43" s="71"/>
      <c r="D43" s="71"/>
      <c r="E43" s="74"/>
      <c r="F43" s="74"/>
      <c r="G43" s="73"/>
      <c r="H43" s="74"/>
      <c r="I43" s="74"/>
      <c r="J43" s="311"/>
      <c r="K43" s="1"/>
      <c r="L43" s="413"/>
    </row>
    <row r="44" spans="1:16" x14ac:dyDescent="0.35">
      <c r="A44" s="77" t="s">
        <v>60</v>
      </c>
      <c r="C44" s="6"/>
      <c r="D44" s="6"/>
      <c r="E44" s="75"/>
      <c r="F44" s="75"/>
      <c r="G44" s="29"/>
      <c r="H44" s="75"/>
      <c r="I44" s="75"/>
      <c r="J44" s="311"/>
      <c r="K44" s="1"/>
      <c r="L44" s="413"/>
    </row>
    <row r="45" spans="1:16" x14ac:dyDescent="0.35">
      <c r="A45" s="1"/>
      <c r="B45" s="1"/>
      <c r="C45" s="6"/>
      <c r="D45" s="75"/>
      <c r="E45" s="78"/>
      <c r="F45" s="78"/>
      <c r="G45" s="29"/>
      <c r="H45" s="29"/>
      <c r="I45" s="29"/>
      <c r="J45" s="311"/>
      <c r="L45" s="413"/>
      <c r="M45" s="26"/>
    </row>
    <row r="46" spans="1:16" x14ac:dyDescent="0.35">
      <c r="A46" s="224" t="s">
        <v>24</v>
      </c>
      <c r="B46" s="235" t="s">
        <v>25</v>
      </c>
      <c r="C46" s="236"/>
      <c r="D46" s="237" t="s">
        <v>26</v>
      </c>
      <c r="G46" s="29"/>
      <c r="H46" s="29"/>
      <c r="I46" s="29"/>
      <c r="J46" s="311"/>
      <c r="L46" s="413"/>
      <c r="M46" s="26"/>
    </row>
    <row r="47" spans="1:16" x14ac:dyDescent="0.35">
      <c r="A47" s="221"/>
      <c r="B47" s="238"/>
      <c r="C47" s="239"/>
      <c r="D47" s="240" t="s">
        <v>27</v>
      </c>
      <c r="G47" s="29"/>
      <c r="H47" s="29"/>
      <c r="I47" s="29"/>
      <c r="J47" s="311"/>
      <c r="L47" s="413"/>
      <c r="M47" s="26"/>
    </row>
    <row r="48" spans="1:16" x14ac:dyDescent="0.35">
      <c r="A48" s="1"/>
      <c r="B48" s="6"/>
      <c r="C48" s="75"/>
      <c r="D48" s="87"/>
      <c r="G48" s="29"/>
      <c r="H48" s="29"/>
      <c r="I48" s="29"/>
      <c r="J48" s="311"/>
      <c r="L48" s="413"/>
      <c r="M48" s="26"/>
    </row>
    <row r="49" spans="1:16" x14ac:dyDescent="0.35">
      <c r="A49" s="214" t="s">
        <v>28</v>
      </c>
      <c r="B49" s="89" t="s">
        <v>29</v>
      </c>
      <c r="C49" s="90">
        <v>10000</v>
      </c>
      <c r="D49" s="91">
        <v>45</v>
      </c>
      <c r="G49" s="29"/>
      <c r="H49" s="29"/>
      <c r="I49" s="29"/>
      <c r="J49" s="311"/>
      <c r="L49" s="413"/>
      <c r="M49" s="26"/>
    </row>
    <row r="50" spans="1:16" x14ac:dyDescent="0.35">
      <c r="A50" s="1"/>
      <c r="B50" s="92" t="s">
        <v>30</v>
      </c>
      <c r="C50" s="90">
        <v>10000</v>
      </c>
      <c r="D50" s="93">
        <v>25</v>
      </c>
      <c r="G50" s="29"/>
      <c r="H50" s="29"/>
      <c r="I50" s="29"/>
      <c r="J50" s="311"/>
      <c r="L50" s="413"/>
      <c r="M50" s="26"/>
    </row>
    <row r="51" spans="1:16" x14ac:dyDescent="0.35">
      <c r="A51" s="1"/>
      <c r="B51" s="1"/>
      <c r="C51" s="6"/>
      <c r="D51" s="1"/>
      <c r="E51" s="78"/>
      <c r="F51" s="78"/>
      <c r="G51" s="29"/>
      <c r="H51" s="29"/>
      <c r="I51" s="29"/>
      <c r="J51" s="311"/>
      <c r="L51" s="413"/>
      <c r="M51" s="26"/>
    </row>
    <row r="52" spans="1:16" x14ac:dyDescent="0.35">
      <c r="A52" s="7"/>
      <c r="B52" s="7"/>
      <c r="C52" s="7"/>
      <c r="D52" s="7"/>
      <c r="E52" s="10"/>
      <c r="F52" s="10"/>
      <c r="G52" s="16"/>
      <c r="H52" s="241"/>
      <c r="I52" s="10"/>
      <c r="J52" s="311"/>
      <c r="K52" s="7"/>
      <c r="L52" s="413"/>
    </row>
    <row r="53" spans="1:16" x14ac:dyDescent="0.35">
      <c r="A53" s="301" t="s">
        <v>31</v>
      </c>
      <c r="B53" s="116" t="s">
        <v>94</v>
      </c>
      <c r="C53" s="74"/>
      <c r="D53" s="74"/>
      <c r="E53" s="300"/>
      <c r="F53" s="300"/>
      <c r="G53" s="7" t="s">
        <v>32</v>
      </c>
      <c r="J53" s="311"/>
      <c r="K53" s="143"/>
      <c r="L53" s="413"/>
      <c r="M53" s="26"/>
    </row>
    <row r="54" spans="1:16" x14ac:dyDescent="0.35">
      <c r="A54" s="1"/>
      <c r="B54" s="101"/>
      <c r="C54" s="75"/>
      <c r="D54" s="75"/>
      <c r="E54" s="246"/>
      <c r="F54" s="246"/>
      <c r="G54" s="245"/>
      <c r="H54" s="75"/>
      <c r="I54" s="247"/>
      <c r="J54" s="311"/>
      <c r="L54" s="413"/>
    </row>
    <row r="55" spans="1:16" x14ac:dyDescent="0.35">
      <c r="A55" s="202" t="s">
        <v>33</v>
      </c>
      <c r="B55" s="203" t="s">
        <v>8</v>
      </c>
      <c r="C55" s="203" t="s">
        <v>4</v>
      </c>
      <c r="D55" s="203" t="s">
        <v>5</v>
      </c>
      <c r="E55" s="204" t="s">
        <v>6</v>
      </c>
      <c r="F55" s="205" t="s">
        <v>7</v>
      </c>
      <c r="G55" s="12"/>
      <c r="J55" s="311"/>
      <c r="K55" s="143"/>
      <c r="L55" s="413"/>
      <c r="M55" s="26"/>
    </row>
    <row r="56" spans="1:16" x14ac:dyDescent="0.35">
      <c r="A56" s="211"/>
      <c r="B56" s="212" t="s">
        <v>11</v>
      </c>
      <c r="C56" s="212" t="s">
        <v>9</v>
      </c>
      <c r="D56" s="302" t="s">
        <v>9</v>
      </c>
      <c r="E56" s="303" t="s">
        <v>9</v>
      </c>
      <c r="F56" s="304" t="s">
        <v>10</v>
      </c>
      <c r="G56" s="13" t="s">
        <v>34</v>
      </c>
      <c r="I56" s="397"/>
      <c r="J56" s="311"/>
      <c r="K56" s="143"/>
      <c r="L56" s="413"/>
      <c r="M56" s="26"/>
    </row>
    <row r="57" spans="1:16" x14ac:dyDescent="0.35">
      <c r="A57" s="1"/>
      <c r="B57" s="6"/>
      <c r="C57" s="14" t="s">
        <v>14</v>
      </c>
      <c r="D57" s="14" t="s">
        <v>14</v>
      </c>
      <c r="E57" s="14" t="s">
        <v>14</v>
      </c>
      <c r="F57" s="305" t="s">
        <v>14</v>
      </c>
      <c r="G57" s="306" t="s">
        <v>14</v>
      </c>
      <c r="I57" s="397"/>
      <c r="J57" s="311"/>
      <c r="K57" s="143"/>
      <c r="L57" s="413"/>
      <c r="M57" s="26"/>
    </row>
    <row r="58" spans="1:16" x14ac:dyDescent="0.35">
      <c r="A58" s="249">
        <v>8</v>
      </c>
      <c r="B58" s="109">
        <v>1</v>
      </c>
      <c r="C58" s="175">
        <v>38316</v>
      </c>
      <c r="D58" s="148">
        <f>C58/12</f>
        <v>3193</v>
      </c>
      <c r="E58" s="149">
        <f>SUM(C58/52.143)</f>
        <v>734.82538404004367</v>
      </c>
      <c r="F58" s="174">
        <f>SUM(C58/52.143)/37</f>
        <v>19.860145514595775</v>
      </c>
      <c r="G58" s="234">
        <f>SUM(C58*1.1381)</f>
        <v>43607.439599999998</v>
      </c>
      <c r="H58" s="407"/>
      <c r="I58" s="397"/>
      <c r="J58" s="311">
        <f>'April 24'!C58</f>
        <v>37128</v>
      </c>
      <c r="L58" s="413"/>
      <c r="M58" s="26" t="b">
        <f t="shared" ref="M58:M67" si="11">EXACT(C58,N58)</f>
        <v>0</v>
      </c>
      <c r="N58" s="414">
        <f>(C58-J58)/J58</f>
        <v>3.1997414350355524E-2</v>
      </c>
      <c r="O58" s="26">
        <f>ROUND(J58*(1+N58),0)</f>
        <v>38316</v>
      </c>
      <c r="P58" s="26" t="b">
        <f>EXACT(C58,O58)</f>
        <v>1</v>
      </c>
    </row>
    <row r="59" spans="1:16" x14ac:dyDescent="0.35">
      <c r="A59" s="110"/>
      <c r="B59" s="111">
        <v>2</v>
      </c>
      <c r="C59" s="175">
        <v>39206</v>
      </c>
      <c r="D59" s="148">
        <f t="shared" ref="D59:D66" si="12">C59/12</f>
        <v>3267.1666666666665</v>
      </c>
      <c r="E59" s="149">
        <f t="shared" ref="E59:E67" si="13">SUM(C59/52.143)</f>
        <v>751.89383042786187</v>
      </c>
      <c r="F59" s="174">
        <f t="shared" ref="F59:F67" si="14">SUM(C59/52.143)/37</f>
        <v>20.3214548764287</v>
      </c>
      <c r="G59" s="234">
        <f t="shared" ref="G59:G67" si="15">SUM(C59*1.1381)</f>
        <v>44620.348599999998</v>
      </c>
      <c r="H59" s="407"/>
      <c r="I59" s="397"/>
      <c r="J59" s="311">
        <f>'April 24'!C59</f>
        <v>37990</v>
      </c>
      <c r="L59" s="413"/>
      <c r="M59" s="26" t="b">
        <f t="shared" si="11"/>
        <v>0</v>
      </c>
      <c r="N59" s="414">
        <f t="shared" ref="N59:N67" si="16">(C59-J59)/J59</f>
        <v>3.200842326928139E-2</v>
      </c>
      <c r="O59" s="26">
        <f t="shared" ref="O59:O67" si="17">ROUND(J59*(1+N59),0)</f>
        <v>39206</v>
      </c>
      <c r="P59" s="26" t="b">
        <f t="shared" ref="P59:P67" si="18">EXACT(C59,O59)</f>
        <v>1</v>
      </c>
    </row>
    <row r="60" spans="1:16" x14ac:dyDescent="0.35">
      <c r="A60" s="110"/>
      <c r="B60" s="111">
        <v>3</v>
      </c>
      <c r="C60" s="175">
        <v>40088</v>
      </c>
      <c r="D60" s="148">
        <f t="shared" si="12"/>
        <v>3340.6666666666665</v>
      </c>
      <c r="E60" s="149">
        <f t="shared" si="13"/>
        <v>768.80885257848604</v>
      </c>
      <c r="F60" s="174">
        <f t="shared" si="14"/>
        <v>20.778617637256378</v>
      </c>
      <c r="G60" s="234">
        <f t="shared" si="15"/>
        <v>45624.152799999996</v>
      </c>
      <c r="H60" s="407"/>
      <c r="I60" s="397"/>
      <c r="J60" s="311">
        <f>'April 24'!C60</f>
        <v>38845</v>
      </c>
      <c r="L60" s="413"/>
      <c r="M60" s="26" t="b">
        <f t="shared" si="11"/>
        <v>0</v>
      </c>
      <c r="N60" s="414">
        <f t="shared" si="16"/>
        <v>3.1998970266443556E-2</v>
      </c>
      <c r="O60" s="26">
        <f t="shared" si="17"/>
        <v>40088</v>
      </c>
      <c r="P60" s="26" t="b">
        <f t="shared" si="18"/>
        <v>1</v>
      </c>
    </row>
    <row r="61" spans="1:16" x14ac:dyDescent="0.35">
      <c r="A61" s="110"/>
      <c r="B61" s="111">
        <v>4</v>
      </c>
      <c r="C61" s="175">
        <v>41118</v>
      </c>
      <c r="D61" s="148">
        <f t="shared" si="12"/>
        <v>3426.5</v>
      </c>
      <c r="E61" s="149">
        <f t="shared" si="13"/>
        <v>788.56222311719694</v>
      </c>
      <c r="F61" s="174">
        <f t="shared" si="14"/>
        <v>21.312492516680997</v>
      </c>
      <c r="G61" s="234">
        <f t="shared" si="15"/>
        <v>46796.395799999998</v>
      </c>
      <c r="H61" s="407"/>
      <c r="I61" s="397"/>
      <c r="J61" s="311">
        <f>'April 24'!C61</f>
        <v>39843</v>
      </c>
      <c r="L61" s="413"/>
      <c r="M61" s="26" t="b">
        <f t="shared" si="11"/>
        <v>0</v>
      </c>
      <c r="N61" s="414">
        <f t="shared" si="16"/>
        <v>3.2000602364279797E-2</v>
      </c>
      <c r="O61" s="26">
        <f t="shared" si="17"/>
        <v>41118</v>
      </c>
      <c r="P61" s="26" t="b">
        <f t="shared" si="18"/>
        <v>1</v>
      </c>
    </row>
    <row r="62" spans="1:16" x14ac:dyDescent="0.35">
      <c r="A62" s="110"/>
      <c r="B62" s="111">
        <v>5</v>
      </c>
      <c r="C62" s="175">
        <v>42152</v>
      </c>
      <c r="D62" s="148">
        <f t="shared" si="12"/>
        <v>3512.6666666666665</v>
      </c>
      <c r="E62" s="149">
        <f t="shared" si="13"/>
        <v>808.39230577450473</v>
      </c>
      <c r="F62" s="174">
        <f t="shared" si="14"/>
        <v>21.848440696608236</v>
      </c>
      <c r="G62" s="234">
        <f t="shared" si="15"/>
        <v>47973.191199999994</v>
      </c>
      <c r="H62" s="407"/>
      <c r="I62" s="397"/>
      <c r="J62" s="311">
        <f>'April 24'!C62</f>
        <v>40845</v>
      </c>
      <c r="L62" s="413"/>
      <c r="M62" s="26" t="b">
        <f t="shared" si="11"/>
        <v>0</v>
      </c>
      <c r="N62" s="414">
        <f t="shared" si="16"/>
        <v>3.1999020687966701E-2</v>
      </c>
      <c r="O62" s="26">
        <f t="shared" si="17"/>
        <v>42152</v>
      </c>
      <c r="P62" s="26" t="b">
        <f t="shared" si="18"/>
        <v>1</v>
      </c>
    </row>
    <row r="63" spans="1:16" x14ac:dyDescent="0.35">
      <c r="A63" s="249">
        <v>7</v>
      </c>
      <c r="B63" s="109">
        <v>1</v>
      </c>
      <c r="C63" s="175">
        <v>42887</v>
      </c>
      <c r="D63" s="148">
        <f t="shared" si="12"/>
        <v>3573.9166666666665</v>
      </c>
      <c r="E63" s="149">
        <f t="shared" si="13"/>
        <v>822.4881575666916</v>
      </c>
      <c r="F63" s="174">
        <f t="shared" si="14"/>
        <v>22.229409663964638</v>
      </c>
      <c r="G63" s="234">
        <f t="shared" si="15"/>
        <v>48809.694699999993</v>
      </c>
      <c r="H63" s="407"/>
      <c r="I63" s="397"/>
      <c r="J63" s="311">
        <f>'April 24'!C63</f>
        <v>41557</v>
      </c>
      <c r="L63" s="413"/>
      <c r="M63" s="26" t="b">
        <f t="shared" si="11"/>
        <v>0</v>
      </c>
      <c r="N63" s="414">
        <f t="shared" si="16"/>
        <v>3.2004235146906659E-2</v>
      </c>
      <c r="O63" s="26">
        <f t="shared" si="17"/>
        <v>42887</v>
      </c>
      <c r="P63" s="26" t="b">
        <f t="shared" si="18"/>
        <v>1</v>
      </c>
    </row>
    <row r="64" spans="1:16" x14ac:dyDescent="0.35">
      <c r="A64" s="110"/>
      <c r="B64" s="111">
        <v>2</v>
      </c>
      <c r="C64" s="175">
        <v>43920</v>
      </c>
      <c r="D64" s="148">
        <f t="shared" si="12"/>
        <v>3660</v>
      </c>
      <c r="E64" s="149">
        <f t="shared" si="13"/>
        <v>842.29906219435009</v>
      </c>
      <c r="F64" s="174">
        <f t="shared" si="14"/>
        <v>22.76483951876622</v>
      </c>
      <c r="G64" s="234">
        <f t="shared" si="15"/>
        <v>49985.351999999992</v>
      </c>
      <c r="H64" s="407"/>
      <c r="I64" s="397"/>
      <c r="J64" s="311">
        <f>'April 24'!C64</f>
        <v>42558</v>
      </c>
      <c r="L64" s="413"/>
      <c r="M64" s="26" t="b">
        <f t="shared" si="11"/>
        <v>0</v>
      </c>
      <c r="N64" s="414">
        <f t="shared" si="16"/>
        <v>3.2003383617651204E-2</v>
      </c>
      <c r="O64" s="26">
        <f t="shared" si="17"/>
        <v>43920</v>
      </c>
      <c r="P64" s="26" t="b">
        <f t="shared" si="18"/>
        <v>1</v>
      </c>
    </row>
    <row r="65" spans="1:16" x14ac:dyDescent="0.35">
      <c r="A65" s="110"/>
      <c r="B65" s="111">
        <v>3</v>
      </c>
      <c r="C65" s="175">
        <v>44952</v>
      </c>
      <c r="D65" s="148">
        <f t="shared" si="12"/>
        <v>3746</v>
      </c>
      <c r="E65" s="149">
        <f t="shared" si="13"/>
        <v>862.09078879235949</v>
      </c>
      <c r="F65" s="174">
        <f t="shared" si="14"/>
        <v>23.299751048442147</v>
      </c>
      <c r="G65" s="234">
        <f t="shared" si="15"/>
        <v>51159.871199999994</v>
      </c>
      <c r="H65" s="407"/>
      <c r="I65" s="397"/>
      <c r="J65" s="311">
        <f>'April 24'!C65</f>
        <v>43558</v>
      </c>
      <c r="L65" s="413"/>
      <c r="M65" s="26" t="b">
        <f t="shared" si="11"/>
        <v>0</v>
      </c>
      <c r="N65" s="414">
        <f t="shared" si="16"/>
        <v>3.2003305936911704E-2</v>
      </c>
      <c r="O65" s="26">
        <f t="shared" si="17"/>
        <v>44952</v>
      </c>
      <c r="P65" s="26" t="b">
        <f t="shared" si="18"/>
        <v>1</v>
      </c>
    </row>
    <row r="66" spans="1:16" x14ac:dyDescent="0.35">
      <c r="A66" s="110"/>
      <c r="B66" s="111">
        <v>4</v>
      </c>
      <c r="C66" s="175">
        <v>45983</v>
      </c>
      <c r="D66" s="148">
        <f t="shared" si="12"/>
        <v>3831.9166666666665</v>
      </c>
      <c r="E66" s="149">
        <f t="shared" si="13"/>
        <v>881.86333736071958</v>
      </c>
      <c r="F66" s="174">
        <f t="shared" si="14"/>
        <v>23.83414425299242</v>
      </c>
      <c r="G66" s="234">
        <f t="shared" si="15"/>
        <v>52333.252299999993</v>
      </c>
      <c r="H66" s="407"/>
      <c r="I66" s="397"/>
      <c r="J66" s="311">
        <f>'April 24'!C66</f>
        <v>44557</v>
      </c>
      <c r="L66" s="413"/>
      <c r="M66" s="26" t="b">
        <f t="shared" si="11"/>
        <v>0</v>
      </c>
      <c r="N66" s="414">
        <f t="shared" si="16"/>
        <v>3.2003949996633523E-2</v>
      </c>
      <c r="O66" s="26">
        <f t="shared" si="17"/>
        <v>45983</v>
      </c>
      <c r="P66" s="26" t="b">
        <f t="shared" si="18"/>
        <v>1</v>
      </c>
    </row>
    <row r="67" spans="1:16" x14ac:dyDescent="0.35">
      <c r="A67" s="110"/>
      <c r="B67" s="111">
        <v>5</v>
      </c>
      <c r="C67" s="175">
        <v>46979</v>
      </c>
      <c r="D67" s="148">
        <f>C67/12</f>
        <v>3914.9166666666665</v>
      </c>
      <c r="E67" s="149">
        <f t="shared" si="13"/>
        <v>900.96465489135642</v>
      </c>
      <c r="F67" s="174">
        <f t="shared" si="14"/>
        <v>24.350396078144769</v>
      </c>
      <c r="G67" s="234">
        <f t="shared" si="15"/>
        <v>53466.799899999998</v>
      </c>
      <c r="H67" s="407"/>
      <c r="I67" s="397"/>
      <c r="J67" s="311">
        <f>'April 24'!C67</f>
        <v>45522</v>
      </c>
      <c r="L67" s="413"/>
      <c r="M67" s="26" t="b">
        <f t="shared" si="11"/>
        <v>0</v>
      </c>
      <c r="N67" s="414">
        <f t="shared" si="16"/>
        <v>3.2006502350511841E-2</v>
      </c>
      <c r="O67" s="26">
        <f t="shared" si="17"/>
        <v>46979</v>
      </c>
      <c r="P67" s="26" t="b">
        <f t="shared" si="18"/>
        <v>1</v>
      </c>
    </row>
    <row r="68" spans="1:16" x14ac:dyDescent="0.35">
      <c r="A68" s="1"/>
      <c r="B68" s="6"/>
      <c r="C68" s="112"/>
      <c r="D68" s="58"/>
      <c r="E68" s="58"/>
      <c r="F68" s="65"/>
      <c r="G68" s="66"/>
      <c r="H68" s="248"/>
      <c r="I68" s="7"/>
      <c r="J68" s="311"/>
      <c r="L68" s="413"/>
      <c r="M68" s="26"/>
    </row>
    <row r="69" spans="1:16" x14ac:dyDescent="0.35">
      <c r="A69" s="253"/>
      <c r="B69" s="253"/>
      <c r="C69" s="6"/>
      <c r="D69" s="67"/>
      <c r="E69" s="254"/>
      <c r="F69" s="254"/>
      <c r="G69" s="255"/>
      <c r="H69" s="66"/>
      <c r="I69" s="248"/>
      <c r="J69" s="311"/>
      <c r="L69" s="413"/>
      <c r="M69" s="26"/>
    </row>
    <row r="70" spans="1:16" x14ac:dyDescent="0.35">
      <c r="A70" s="7"/>
      <c r="B70" s="7"/>
      <c r="C70" s="116"/>
      <c r="D70" s="117"/>
      <c r="E70" s="16"/>
      <c r="F70" s="16"/>
      <c r="G70" s="256"/>
      <c r="H70" s="257"/>
      <c r="I70" s="242"/>
      <c r="J70" s="311"/>
      <c r="L70" s="413"/>
      <c r="M70" s="26"/>
    </row>
    <row r="71" spans="1:16" x14ac:dyDescent="0.35">
      <c r="D71" s="26"/>
      <c r="J71" s="311"/>
      <c r="L71" s="413"/>
      <c r="M71" s="26"/>
    </row>
    <row r="72" spans="1:16" x14ac:dyDescent="0.35">
      <c r="D72" s="26"/>
      <c r="J72" s="311"/>
      <c r="L72" s="413"/>
      <c r="M72" s="26"/>
    </row>
    <row r="73" spans="1:16" x14ac:dyDescent="0.35">
      <c r="A73" s="125" t="s">
        <v>35</v>
      </c>
      <c r="B73" s="116" t="s">
        <v>94</v>
      </c>
      <c r="C73" s="126"/>
      <c r="D73" s="127"/>
      <c r="J73" s="311"/>
      <c r="L73" s="413"/>
      <c r="M73" s="26"/>
    </row>
    <row r="74" spans="1:16" x14ac:dyDescent="0.35">
      <c r="A74" s="125"/>
      <c r="B74" s="125"/>
      <c r="C74" s="126"/>
      <c r="D74" s="127"/>
      <c r="E74" s="421"/>
      <c r="F74" s="421"/>
      <c r="G74" s="421"/>
      <c r="J74" s="311"/>
      <c r="L74" s="413"/>
      <c r="M74" s="26"/>
    </row>
    <row r="75" spans="1:16" x14ac:dyDescent="0.35">
      <c r="A75" s="129" t="s">
        <v>36</v>
      </c>
      <c r="B75" s="7"/>
      <c r="D75" s="127"/>
      <c r="E75" s="421"/>
      <c r="F75" s="421"/>
      <c r="G75" s="421"/>
      <c r="J75" s="311"/>
      <c r="L75" s="413"/>
      <c r="M75" s="26"/>
    </row>
    <row r="76" spans="1:16" ht="26.5" x14ac:dyDescent="0.35">
      <c r="A76" s="7"/>
      <c r="B76" s="7"/>
      <c r="C76" s="117"/>
      <c r="D76" s="288" t="s">
        <v>37</v>
      </c>
      <c r="E76" s="288" t="s">
        <v>37</v>
      </c>
      <c r="F76" s="401"/>
      <c r="J76" s="311"/>
      <c r="L76" s="413"/>
      <c r="M76" s="26"/>
    </row>
    <row r="77" spans="1:16" x14ac:dyDescent="0.35">
      <c r="A77" s="260" t="s">
        <v>33</v>
      </c>
      <c r="B77" s="260" t="s">
        <v>38</v>
      </c>
      <c r="C77" s="261" t="s">
        <v>39</v>
      </c>
      <c r="D77" s="286" t="s">
        <v>38</v>
      </c>
      <c r="E77" s="415" t="s">
        <v>39</v>
      </c>
      <c r="F77" s="402"/>
      <c r="J77" s="311"/>
      <c r="L77" s="413"/>
      <c r="M77" s="26"/>
    </row>
    <row r="78" spans="1:16" x14ac:dyDescent="0.35">
      <c r="A78" s="136"/>
      <c r="B78" s="137"/>
      <c r="C78" s="138"/>
      <c r="D78" s="403"/>
      <c r="E78" s="406"/>
      <c r="F78" s="404"/>
      <c r="G78" s="404"/>
      <c r="I78" s="26" t="s">
        <v>38</v>
      </c>
      <c r="J78" s="311" t="s">
        <v>39</v>
      </c>
      <c r="K78" s="26" t="s">
        <v>38</v>
      </c>
      <c r="L78" s="413" t="s">
        <v>39</v>
      </c>
    </row>
    <row r="79" spans="1:16" x14ac:dyDescent="0.35">
      <c r="A79" s="265" t="s">
        <v>40</v>
      </c>
      <c r="B79" s="266">
        <v>88709</v>
      </c>
      <c r="C79" s="266">
        <v>117571</v>
      </c>
      <c r="D79" s="263">
        <f>SUM(B79/52.143/37)</f>
        <v>45.980103571726609</v>
      </c>
      <c r="E79" s="263">
        <f>SUM(C79/52.143/37)</f>
        <v>60.940003348380309</v>
      </c>
      <c r="F79" s="405"/>
      <c r="G79" s="408"/>
      <c r="H79" s="408"/>
      <c r="I79" s="311">
        <f>'April 24'!B79</f>
        <v>85958</v>
      </c>
      <c r="J79" s="311">
        <f>'April 24'!C79</f>
        <v>113925</v>
      </c>
      <c r="K79" s="414">
        <f>(B79-I79)/I79</f>
        <v>3.2004001954442869E-2</v>
      </c>
      <c r="L79" s="414">
        <f>(C79-J79)/J79</f>
        <v>3.2003511081852093E-2</v>
      </c>
      <c r="M79" s="26"/>
    </row>
    <row r="80" spans="1:16" x14ac:dyDescent="0.35">
      <c r="A80" s="136"/>
      <c r="B80" s="266"/>
      <c r="C80" s="266"/>
      <c r="D80" s="263"/>
      <c r="E80" s="263"/>
      <c r="F80" s="405"/>
      <c r="G80" s="408"/>
      <c r="H80" s="408"/>
      <c r="I80" s="311"/>
      <c r="J80" s="311"/>
      <c r="K80" s="414"/>
      <c r="L80" s="414"/>
      <c r="M80" s="26"/>
    </row>
    <row r="81" spans="1:13" x14ac:dyDescent="0.35">
      <c r="A81" s="260" t="s">
        <v>41</v>
      </c>
      <c r="B81" s="266">
        <v>81497</v>
      </c>
      <c r="C81" s="266">
        <v>94480</v>
      </c>
      <c r="D81" s="263">
        <f>SUM(B81/52.143/37)</f>
        <v>42.241942765502976</v>
      </c>
      <c r="E81" s="263">
        <f>SUM(C81/52.143/37)</f>
        <v>48.97135787188143</v>
      </c>
      <c r="F81" s="405"/>
      <c r="G81" s="408"/>
      <c r="H81" s="408"/>
      <c r="I81" s="311">
        <f>'April 24'!B81</f>
        <v>78970</v>
      </c>
      <c r="J81" s="311">
        <f>'April 24'!C81</f>
        <v>91550</v>
      </c>
      <c r="K81" s="414">
        <f t="shared" ref="K81:L91" si="19">(B81-I81)/I81</f>
        <v>3.1999493478536152E-2</v>
      </c>
      <c r="L81" s="414">
        <f t="shared" si="19"/>
        <v>3.2004369197160022E-2</v>
      </c>
      <c r="M81" s="26"/>
    </row>
    <row r="82" spans="1:13" x14ac:dyDescent="0.35">
      <c r="A82" s="21"/>
      <c r="B82" s="266"/>
      <c r="C82" s="266"/>
      <c r="D82" s="263"/>
      <c r="E82" s="263"/>
      <c r="F82" s="405"/>
      <c r="G82" s="408"/>
      <c r="H82" s="408"/>
      <c r="I82" s="311"/>
      <c r="J82" s="311"/>
      <c r="K82" s="414"/>
      <c r="L82" s="414"/>
      <c r="M82" s="26"/>
    </row>
    <row r="83" spans="1:13" x14ac:dyDescent="0.35">
      <c r="A83" s="260" t="s">
        <v>42</v>
      </c>
      <c r="B83" s="266">
        <v>72941</v>
      </c>
      <c r="C83" s="266">
        <v>79654</v>
      </c>
      <c r="D83" s="263">
        <f>SUM(B83/52.143/37)</f>
        <v>37.807152990399061</v>
      </c>
      <c r="E83" s="263">
        <f>SUM(C83/52.143/37)</f>
        <v>41.28666955892087</v>
      </c>
      <c r="F83" s="405"/>
      <c r="G83" s="408"/>
      <c r="H83" s="408"/>
      <c r="I83" s="311">
        <f>'April 24'!B83</f>
        <v>70679</v>
      </c>
      <c r="J83" s="311">
        <f>'April 24'!C83</f>
        <v>77184</v>
      </c>
      <c r="K83" s="414">
        <f t="shared" si="19"/>
        <v>3.2003848384951683E-2</v>
      </c>
      <c r="L83" s="414">
        <f t="shared" si="19"/>
        <v>3.2001451077943617E-2</v>
      </c>
      <c r="M83" s="26"/>
    </row>
    <row r="84" spans="1:13" x14ac:dyDescent="0.35">
      <c r="A84" s="23"/>
      <c r="B84" s="266"/>
      <c r="C84" s="266"/>
      <c r="D84" s="263"/>
      <c r="E84" s="263"/>
      <c r="F84" s="405"/>
      <c r="G84" s="408"/>
      <c r="H84" s="408"/>
      <c r="I84" s="311"/>
      <c r="J84" s="311"/>
      <c r="K84" s="414"/>
      <c r="L84" s="414"/>
      <c r="M84" s="26"/>
    </row>
    <row r="85" spans="1:13" x14ac:dyDescent="0.35">
      <c r="A85" s="260" t="s">
        <v>43</v>
      </c>
      <c r="B85" s="266">
        <v>65421</v>
      </c>
      <c r="C85" s="266">
        <v>71239</v>
      </c>
      <c r="D85" s="263">
        <f>SUM(B85/52.143/37)</f>
        <v>33.909348045473699</v>
      </c>
      <c r="E85" s="263">
        <f>SUM(C85/52.143/37)</f>
        <v>36.924963626534307</v>
      </c>
      <c r="F85" s="405"/>
      <c r="G85" s="408"/>
      <c r="H85" s="408"/>
      <c r="I85" s="311">
        <f>'April 24'!B85</f>
        <v>63392</v>
      </c>
      <c r="J85" s="311">
        <f>'April 24'!C85</f>
        <v>69030</v>
      </c>
      <c r="K85" s="414">
        <f t="shared" si="19"/>
        <v>3.2007193336698637E-2</v>
      </c>
      <c r="L85" s="414">
        <f t="shared" si="19"/>
        <v>3.2000579458206578E-2</v>
      </c>
      <c r="M85" s="26"/>
    </row>
    <row r="86" spans="1:13" x14ac:dyDescent="0.35">
      <c r="A86" s="23"/>
      <c r="B86" s="266"/>
      <c r="C86" s="266"/>
      <c r="D86" s="263"/>
      <c r="E86" s="263"/>
      <c r="F86" s="405"/>
      <c r="G86" s="408"/>
      <c r="H86" s="408"/>
      <c r="I86" s="311"/>
      <c r="J86" s="311"/>
      <c r="K86" s="414"/>
      <c r="L86" s="414"/>
      <c r="M86" s="26"/>
    </row>
    <row r="87" spans="1:13" x14ac:dyDescent="0.35">
      <c r="A87" s="260" t="s">
        <v>44</v>
      </c>
      <c r="B87" s="266">
        <v>58386</v>
      </c>
      <c r="C87" s="266">
        <v>63653</v>
      </c>
      <c r="D87" s="263">
        <f>SUM(B87/52.143/37)</f>
        <v>30.262930786490994</v>
      </c>
      <c r="E87" s="263">
        <f>SUM(C87/52.143/37)</f>
        <v>32.992949223315712</v>
      </c>
      <c r="F87" s="405"/>
      <c r="G87" s="408"/>
      <c r="H87" s="408"/>
      <c r="I87" s="311">
        <f>'April 24'!B87</f>
        <v>56576</v>
      </c>
      <c r="J87" s="311">
        <f>'April 24'!C87</f>
        <v>61679</v>
      </c>
      <c r="K87" s="414">
        <f t="shared" si="19"/>
        <v>3.1992364253393663E-2</v>
      </c>
      <c r="L87" s="414">
        <f t="shared" si="19"/>
        <v>3.2004409928825049E-2</v>
      </c>
      <c r="M87" s="26"/>
    </row>
    <row r="88" spans="1:13" x14ac:dyDescent="0.35">
      <c r="A88" s="23"/>
      <c r="B88" s="266"/>
      <c r="C88" s="266"/>
      <c r="D88" s="263"/>
      <c r="E88" s="263"/>
      <c r="F88" s="405"/>
      <c r="G88" s="408"/>
      <c r="H88" s="408"/>
      <c r="I88" s="311"/>
      <c r="J88" s="311"/>
      <c r="K88" s="414"/>
      <c r="L88" s="414"/>
      <c r="M88" s="26"/>
    </row>
    <row r="89" spans="1:13" x14ac:dyDescent="0.35">
      <c r="A89" s="260" t="s">
        <v>45</v>
      </c>
      <c r="B89" s="266">
        <v>53498</v>
      </c>
      <c r="C89" s="266">
        <v>58199</v>
      </c>
      <c r="D89" s="263">
        <f>SUM(B89/52.143/37)</f>
        <v>27.729357572289508</v>
      </c>
      <c r="E89" s="263">
        <f>SUM(C89/52.143/37)</f>
        <v>30.16600398799352</v>
      </c>
      <c r="F89" s="405"/>
      <c r="G89" s="408"/>
      <c r="H89" s="408"/>
      <c r="I89" s="311">
        <f>'April 24'!B89</f>
        <v>51839</v>
      </c>
      <c r="J89" s="311">
        <f>'April 24'!C89</f>
        <v>56394</v>
      </c>
      <c r="K89" s="414">
        <f t="shared" si="19"/>
        <v>3.2002932155327068E-2</v>
      </c>
      <c r="L89" s="414">
        <f t="shared" si="19"/>
        <v>3.2006951094088021E-2</v>
      </c>
      <c r="M89" s="26"/>
    </row>
    <row r="90" spans="1:13" x14ac:dyDescent="0.35">
      <c r="A90" s="23"/>
      <c r="B90" s="266"/>
      <c r="C90" s="266"/>
      <c r="D90" s="263"/>
      <c r="E90" s="263"/>
      <c r="F90" s="405"/>
      <c r="G90" s="408"/>
      <c r="H90" s="408"/>
      <c r="I90" s="311"/>
      <c r="J90" s="311"/>
      <c r="K90" s="414"/>
      <c r="L90" s="414"/>
      <c r="M90" s="26"/>
    </row>
    <row r="91" spans="1:13" x14ac:dyDescent="0.35">
      <c r="A91" s="262" t="s">
        <v>46</v>
      </c>
      <c r="B91" s="272">
        <v>49285</v>
      </c>
      <c r="C91" s="273">
        <v>53342</v>
      </c>
      <c r="D91" s="263">
        <f>SUM(B91/52.143/37)</f>
        <v>25.545653817905126</v>
      </c>
      <c r="E91" s="263">
        <f>SUM(C91/52.143/37)</f>
        <v>27.648498852687332</v>
      </c>
      <c r="F91" s="405"/>
      <c r="G91" s="408"/>
      <c r="H91" s="408"/>
      <c r="I91" s="311">
        <f>'April 24'!B91</f>
        <v>47757</v>
      </c>
      <c r="J91" s="311">
        <f>'April 24'!C91</f>
        <v>51688</v>
      </c>
      <c r="K91" s="414">
        <f t="shared" si="19"/>
        <v>3.1995309588123209E-2</v>
      </c>
      <c r="L91" s="414">
        <f t="shared" si="19"/>
        <v>3.1999690450394677E-2</v>
      </c>
      <c r="M91" s="26"/>
    </row>
    <row r="92" spans="1:13" x14ac:dyDescent="0.35">
      <c r="A92" s="7"/>
      <c r="B92" s="7"/>
      <c r="C92" s="10"/>
      <c r="D92" s="16"/>
      <c r="E92" s="16"/>
      <c r="F92" s="241"/>
      <c r="K92" s="143"/>
      <c r="M92" s="26"/>
    </row>
    <row r="93" spans="1:13" x14ac:dyDescent="0.35">
      <c r="D93" s="26"/>
      <c r="L93" s="143"/>
      <c r="M93" s="26"/>
    </row>
    <row r="94" spans="1:13" x14ac:dyDescent="0.35">
      <c r="D94" s="26"/>
      <c r="L94" s="143"/>
      <c r="M94" s="26"/>
    </row>
    <row r="95" spans="1:13" x14ac:dyDescent="0.35">
      <c r="D95" s="26"/>
      <c r="L95" s="143"/>
      <c r="M95" s="26"/>
    </row>
    <row r="96" spans="1:13" x14ac:dyDescent="0.35">
      <c r="D96" s="26"/>
      <c r="L96" s="143"/>
      <c r="M96" s="26"/>
    </row>
    <row r="97" spans="4:13" x14ac:dyDescent="0.35">
      <c r="D97" s="26"/>
      <c r="L97" s="143"/>
      <c r="M97" s="26"/>
    </row>
    <row r="98" spans="4:13" x14ac:dyDescent="0.35">
      <c r="D98" s="26"/>
      <c r="L98" s="143"/>
      <c r="M98" s="26"/>
    </row>
    <row r="99" spans="4:13" x14ac:dyDescent="0.35">
      <c r="D99" s="26"/>
      <c r="L99" s="143"/>
      <c r="M99" s="26"/>
    </row>
    <row r="100" spans="4:13" x14ac:dyDescent="0.35">
      <c r="D100" s="26"/>
      <c r="L100" s="143"/>
      <c r="M100" s="26"/>
    </row>
    <row r="101" spans="4:13" x14ac:dyDescent="0.35">
      <c r="D101" s="26"/>
      <c r="L101" s="143"/>
      <c r="M101" s="26"/>
    </row>
    <row r="102" spans="4:13" x14ac:dyDescent="0.35">
      <c r="D102" s="26"/>
      <c r="L102" s="143"/>
      <c r="M102" s="26"/>
    </row>
    <row r="103" spans="4:13" x14ac:dyDescent="0.35">
      <c r="D103" s="26"/>
      <c r="L103" s="143"/>
      <c r="M103" s="26"/>
    </row>
    <row r="104" spans="4:13" x14ac:dyDescent="0.35">
      <c r="D104" s="26"/>
      <c r="L104" s="143"/>
      <c r="M104" s="26"/>
    </row>
    <row r="105" spans="4:13" x14ac:dyDescent="0.35">
      <c r="D105" s="26"/>
      <c r="L105" s="143"/>
      <c r="M105" s="26"/>
    </row>
    <row r="106" spans="4:13" x14ac:dyDescent="0.35">
      <c r="D106" s="26"/>
      <c r="L106" s="143"/>
      <c r="M106" s="26"/>
    </row>
    <row r="107" spans="4:13" x14ac:dyDescent="0.35">
      <c r="D107" s="26"/>
      <c r="L107" s="143"/>
      <c r="M107" s="26"/>
    </row>
    <row r="108" spans="4:13" x14ac:dyDescent="0.35">
      <c r="D108" s="26"/>
      <c r="L108" s="143"/>
      <c r="M108" s="26"/>
    </row>
    <row r="109" spans="4:13" x14ac:dyDescent="0.35">
      <c r="D109" s="26"/>
      <c r="L109" s="143"/>
      <c r="M109" s="26"/>
    </row>
    <row r="110" spans="4:13" x14ac:dyDescent="0.35">
      <c r="D110" s="26"/>
      <c r="L110" s="143"/>
      <c r="M110" s="26"/>
    </row>
    <row r="111" spans="4:13" x14ac:dyDescent="0.35">
      <c r="D111" s="26"/>
      <c r="L111" s="143"/>
      <c r="M111" s="26"/>
    </row>
    <row r="112" spans="4:13" x14ac:dyDescent="0.35">
      <c r="D112" s="26"/>
      <c r="L112" s="143"/>
      <c r="M112" s="26"/>
    </row>
    <row r="113" spans="4:13" x14ac:dyDescent="0.35">
      <c r="D113" s="26"/>
      <c r="L113" s="143"/>
      <c r="M113" s="26"/>
    </row>
    <row r="114" spans="4:13" x14ac:dyDescent="0.35">
      <c r="D114" s="26"/>
      <c r="L114" s="143"/>
      <c r="M114" s="26"/>
    </row>
    <row r="115" spans="4:13" x14ac:dyDescent="0.35">
      <c r="D115" s="26"/>
      <c r="L115" s="143"/>
      <c r="M115" s="26"/>
    </row>
    <row r="116" spans="4:13" x14ac:dyDescent="0.35">
      <c r="D116" s="26"/>
      <c r="L116" s="143"/>
      <c r="M116" s="26"/>
    </row>
    <row r="117" spans="4:13" x14ac:dyDescent="0.35">
      <c r="D117" s="26"/>
      <c r="L117" s="143"/>
      <c r="M117" s="26"/>
    </row>
    <row r="118" spans="4:13" x14ac:dyDescent="0.35">
      <c r="D118" s="26"/>
      <c r="L118" s="143"/>
      <c r="M118" s="26"/>
    </row>
    <row r="119" spans="4:13" x14ac:dyDescent="0.35">
      <c r="D119" s="26"/>
      <c r="L119" s="143"/>
      <c r="M119" s="26"/>
    </row>
    <row r="120" spans="4:13" x14ac:dyDescent="0.35">
      <c r="D120" s="26"/>
      <c r="L120" s="143"/>
      <c r="M120" s="26"/>
    </row>
    <row r="121" spans="4:13" x14ac:dyDescent="0.35">
      <c r="D121" s="26"/>
      <c r="L121" s="143"/>
      <c r="M121" s="26"/>
    </row>
    <row r="122" spans="4:13" x14ac:dyDescent="0.35">
      <c r="D122" s="26"/>
      <c r="L122" s="143"/>
      <c r="M122" s="26"/>
    </row>
    <row r="123" spans="4:13" x14ac:dyDescent="0.35">
      <c r="D123" s="26"/>
      <c r="L123" s="143"/>
      <c r="M123" s="26"/>
    </row>
    <row r="124" spans="4:13" x14ac:dyDescent="0.35">
      <c r="D124" s="26"/>
      <c r="L124" s="143"/>
      <c r="M124" s="26"/>
    </row>
    <row r="125" spans="4:13" x14ac:dyDescent="0.35">
      <c r="D125" s="26"/>
      <c r="L125" s="143"/>
      <c r="M125" s="26"/>
    </row>
    <row r="126" spans="4:13" x14ac:dyDescent="0.35">
      <c r="D126" s="26"/>
      <c r="L126" s="143"/>
      <c r="M126" s="26"/>
    </row>
    <row r="127" spans="4:13" x14ac:dyDescent="0.35">
      <c r="D127" s="26"/>
      <c r="L127" s="143"/>
      <c r="M127" s="26"/>
    </row>
    <row r="128" spans="4:13" x14ac:dyDescent="0.35">
      <c r="D128" s="26"/>
      <c r="L128" s="143"/>
      <c r="M128" s="26"/>
    </row>
    <row r="129" spans="4:13" x14ac:dyDescent="0.35">
      <c r="D129" s="26"/>
      <c r="L129" s="143"/>
      <c r="M129" s="26"/>
    </row>
    <row r="130" spans="4:13" x14ac:dyDescent="0.35">
      <c r="D130" s="26"/>
      <c r="L130" s="143"/>
      <c r="M130" s="26"/>
    </row>
    <row r="131" spans="4:13" x14ac:dyDescent="0.35">
      <c r="D131" s="26"/>
      <c r="L131" s="143"/>
      <c r="M131" s="26"/>
    </row>
    <row r="132" spans="4:13" x14ac:dyDescent="0.35">
      <c r="D132" s="26"/>
      <c r="L132" s="143"/>
      <c r="M132" s="26"/>
    </row>
    <row r="133" spans="4:13" x14ac:dyDescent="0.35">
      <c r="D133" s="26"/>
      <c r="L133" s="143"/>
      <c r="M133" s="26"/>
    </row>
    <row r="134" spans="4:13" x14ac:dyDescent="0.35">
      <c r="D134" s="26"/>
      <c r="L134" s="143"/>
      <c r="M134" s="26"/>
    </row>
    <row r="135" spans="4:13" x14ac:dyDescent="0.35">
      <c r="D135" s="26"/>
      <c r="L135" s="143"/>
      <c r="M135" s="26"/>
    </row>
    <row r="136" spans="4:13" x14ac:dyDescent="0.35">
      <c r="D136" s="26"/>
      <c r="L136" s="143"/>
      <c r="M136" s="26"/>
    </row>
    <row r="137" spans="4:13" x14ac:dyDescent="0.35">
      <c r="D137" s="26"/>
      <c r="L137" s="143"/>
      <c r="M137" s="26"/>
    </row>
    <row r="138" spans="4:13" x14ac:dyDescent="0.35">
      <c r="D138" s="26"/>
      <c r="L138" s="143"/>
      <c r="M138" s="26"/>
    </row>
    <row r="139" spans="4:13" x14ac:dyDescent="0.35">
      <c r="D139" s="26"/>
      <c r="L139" s="143"/>
      <c r="M139" s="26"/>
    </row>
    <row r="140" spans="4:13" x14ac:dyDescent="0.35">
      <c r="D140" s="26"/>
      <c r="L140" s="143"/>
      <c r="M140" s="26"/>
    </row>
    <row r="141" spans="4:13" x14ac:dyDescent="0.35">
      <c r="D141" s="26"/>
      <c r="L141" s="143"/>
      <c r="M141" s="26"/>
    </row>
    <row r="142" spans="4:13" x14ac:dyDescent="0.35">
      <c r="D142" s="26"/>
      <c r="L142" s="143"/>
      <c r="M142" s="26"/>
    </row>
    <row r="143" spans="4:13" x14ac:dyDescent="0.35">
      <c r="D143" s="26"/>
    </row>
    <row r="144" spans="4:13" x14ac:dyDescent="0.35">
      <c r="D144" s="26"/>
    </row>
    <row r="145" spans="4:4" x14ac:dyDescent="0.35">
      <c r="D145" s="26"/>
    </row>
    <row r="146" spans="4:4" x14ac:dyDescent="0.35">
      <c r="D146" s="26"/>
    </row>
    <row r="147" spans="4:4" x14ac:dyDescent="0.35">
      <c r="D147" s="26"/>
    </row>
    <row r="148" spans="4:4" x14ac:dyDescent="0.35">
      <c r="D148" s="26"/>
    </row>
    <row r="149" spans="4:4" x14ac:dyDescent="0.35">
      <c r="D149" s="26"/>
    </row>
    <row r="150" spans="4:4" x14ac:dyDescent="0.35">
      <c r="D150" s="26"/>
    </row>
    <row r="151" spans="4:4" x14ac:dyDescent="0.35">
      <c r="D151" s="26"/>
    </row>
    <row r="152" spans="4:4" x14ac:dyDescent="0.35">
      <c r="D152" s="26"/>
    </row>
    <row r="153" spans="4:4" x14ac:dyDescent="0.35">
      <c r="D153" s="26"/>
    </row>
    <row r="154" spans="4:4" x14ac:dyDescent="0.35">
      <c r="D154" s="26"/>
    </row>
    <row r="155" spans="4:4" x14ac:dyDescent="0.35">
      <c r="D155" s="26"/>
    </row>
    <row r="156" spans="4:4" x14ac:dyDescent="0.35">
      <c r="D156" s="26"/>
    </row>
    <row r="157" spans="4:4" x14ac:dyDescent="0.35">
      <c r="D157" s="26"/>
    </row>
    <row r="158" spans="4:4" x14ac:dyDescent="0.35">
      <c r="D158" s="26"/>
    </row>
    <row r="159" spans="4:4" x14ac:dyDescent="0.35">
      <c r="D159" s="26"/>
    </row>
    <row r="160" spans="4:4" x14ac:dyDescent="0.35">
      <c r="D160" s="26"/>
    </row>
    <row r="161" spans="4:4" x14ac:dyDescent="0.35">
      <c r="D161" s="26"/>
    </row>
    <row r="162" spans="4:4" x14ac:dyDescent="0.35">
      <c r="D162" s="26"/>
    </row>
    <row r="163" spans="4:4" x14ac:dyDescent="0.35">
      <c r="D163" s="26"/>
    </row>
    <row r="164" spans="4:4" x14ac:dyDescent="0.35">
      <c r="D164" s="26"/>
    </row>
    <row r="165" spans="4:4" x14ac:dyDescent="0.35">
      <c r="D165" s="26"/>
    </row>
    <row r="166" spans="4:4" x14ac:dyDescent="0.35">
      <c r="D166" s="26"/>
    </row>
    <row r="167" spans="4:4" x14ac:dyDescent="0.35">
      <c r="D167" s="26"/>
    </row>
    <row r="168" spans="4:4" x14ac:dyDescent="0.35">
      <c r="D168" s="26"/>
    </row>
    <row r="169" spans="4:4" x14ac:dyDescent="0.35">
      <c r="D169" s="26"/>
    </row>
    <row r="170" spans="4:4" x14ac:dyDescent="0.35">
      <c r="D170" s="26"/>
    </row>
    <row r="171" spans="4:4" x14ac:dyDescent="0.35">
      <c r="D171" s="26"/>
    </row>
    <row r="172" spans="4:4" x14ac:dyDescent="0.35">
      <c r="D172" s="26"/>
    </row>
    <row r="173" spans="4:4" x14ac:dyDescent="0.35">
      <c r="D173" s="26"/>
    </row>
    <row r="174" spans="4:4" x14ac:dyDescent="0.35">
      <c r="D174" s="26"/>
    </row>
    <row r="175" spans="4:4" x14ac:dyDescent="0.35">
      <c r="D175" s="26"/>
    </row>
    <row r="176" spans="4:4" x14ac:dyDescent="0.35">
      <c r="D176" s="26"/>
    </row>
    <row r="177" spans="4:4" x14ac:dyDescent="0.35">
      <c r="D177" s="26"/>
    </row>
    <row r="178" spans="4:4" x14ac:dyDescent="0.35">
      <c r="D178" s="26"/>
    </row>
    <row r="179" spans="4:4" x14ac:dyDescent="0.35">
      <c r="D179" s="26"/>
    </row>
    <row r="180" spans="4:4" x14ac:dyDescent="0.35">
      <c r="D180" s="26"/>
    </row>
    <row r="181" spans="4:4" x14ac:dyDescent="0.35">
      <c r="D181" s="26"/>
    </row>
    <row r="182" spans="4:4" x14ac:dyDescent="0.35">
      <c r="D182" s="26"/>
    </row>
    <row r="183" spans="4:4" x14ac:dyDescent="0.35">
      <c r="D183" s="26"/>
    </row>
    <row r="184" spans="4:4" x14ac:dyDescent="0.35">
      <c r="D184" s="26"/>
    </row>
    <row r="185" spans="4:4" x14ac:dyDescent="0.35">
      <c r="D185" s="26"/>
    </row>
    <row r="186" spans="4:4" x14ac:dyDescent="0.35">
      <c r="D186" s="26"/>
    </row>
    <row r="187" spans="4:4" x14ac:dyDescent="0.35">
      <c r="D187" s="26"/>
    </row>
    <row r="188" spans="4:4" x14ac:dyDescent="0.35">
      <c r="D188" s="26"/>
    </row>
    <row r="189" spans="4:4" x14ac:dyDescent="0.35">
      <c r="D189" s="26"/>
    </row>
    <row r="190" spans="4:4" x14ac:dyDescent="0.35">
      <c r="D190" s="26"/>
    </row>
    <row r="191" spans="4:4" x14ac:dyDescent="0.35">
      <c r="D191" s="26"/>
    </row>
    <row r="192" spans="4:4" x14ac:dyDescent="0.35">
      <c r="D192" s="26"/>
    </row>
    <row r="193" spans="4:4" x14ac:dyDescent="0.35">
      <c r="D193" s="26"/>
    </row>
    <row r="194" spans="4:4" x14ac:dyDescent="0.35">
      <c r="D194" s="26"/>
    </row>
    <row r="195" spans="4:4" x14ac:dyDescent="0.35">
      <c r="D195" s="26"/>
    </row>
    <row r="196" spans="4:4" x14ac:dyDescent="0.35">
      <c r="D196" s="26"/>
    </row>
    <row r="197" spans="4:4" x14ac:dyDescent="0.35">
      <c r="D197" s="26"/>
    </row>
    <row r="198" spans="4:4" x14ac:dyDescent="0.35">
      <c r="D198" s="26"/>
    </row>
    <row r="199" spans="4:4" x14ac:dyDescent="0.35">
      <c r="D199" s="26"/>
    </row>
    <row r="200" spans="4:4" x14ac:dyDescent="0.35">
      <c r="D200" s="26"/>
    </row>
    <row r="201" spans="4:4" x14ac:dyDescent="0.35">
      <c r="D201" s="26"/>
    </row>
    <row r="202" spans="4:4" x14ac:dyDescent="0.35">
      <c r="D202" s="26"/>
    </row>
    <row r="203" spans="4:4" x14ac:dyDescent="0.35">
      <c r="D203" s="26"/>
    </row>
    <row r="204" spans="4:4" x14ac:dyDescent="0.35">
      <c r="D204" s="26"/>
    </row>
    <row r="205" spans="4:4" x14ac:dyDescent="0.35">
      <c r="D205" s="26"/>
    </row>
    <row r="206" spans="4:4" x14ac:dyDescent="0.35">
      <c r="D206" s="26"/>
    </row>
    <row r="207" spans="4:4" x14ac:dyDescent="0.35">
      <c r="D207" s="26"/>
    </row>
    <row r="208" spans="4:4" x14ac:dyDescent="0.35">
      <c r="D208" s="26"/>
    </row>
    <row r="209" spans="4:4" x14ac:dyDescent="0.35">
      <c r="D209" s="26"/>
    </row>
    <row r="210" spans="4:4" x14ac:dyDescent="0.35">
      <c r="D210" s="26"/>
    </row>
    <row r="211" spans="4:4" x14ac:dyDescent="0.35">
      <c r="D211" s="26"/>
    </row>
    <row r="212" spans="4:4" x14ac:dyDescent="0.35">
      <c r="D212" s="26"/>
    </row>
    <row r="213" spans="4:4" x14ac:dyDescent="0.35">
      <c r="D213" s="26"/>
    </row>
    <row r="214" spans="4:4" x14ac:dyDescent="0.35">
      <c r="D214" s="26"/>
    </row>
    <row r="215" spans="4:4" x14ac:dyDescent="0.35">
      <c r="D215" s="26"/>
    </row>
    <row r="216" spans="4:4" x14ac:dyDescent="0.35">
      <c r="D216" s="26"/>
    </row>
    <row r="217" spans="4:4" x14ac:dyDescent="0.35">
      <c r="D217" s="26"/>
    </row>
    <row r="218" spans="4:4" x14ac:dyDescent="0.35">
      <c r="D218" s="26"/>
    </row>
    <row r="219" spans="4:4" x14ac:dyDescent="0.35">
      <c r="D219" s="26"/>
    </row>
    <row r="220" spans="4:4" x14ac:dyDescent="0.35">
      <c r="D220" s="26"/>
    </row>
    <row r="221" spans="4:4" x14ac:dyDescent="0.35">
      <c r="D221" s="26"/>
    </row>
    <row r="222" spans="4:4" x14ac:dyDescent="0.35">
      <c r="D222" s="26"/>
    </row>
    <row r="223" spans="4:4" x14ac:dyDescent="0.35">
      <c r="D223" s="26"/>
    </row>
    <row r="224" spans="4:4" x14ac:dyDescent="0.35">
      <c r="D224" s="26"/>
    </row>
    <row r="225" spans="4:4" x14ac:dyDescent="0.35">
      <c r="D225" s="26"/>
    </row>
    <row r="226" spans="4:4" x14ac:dyDescent="0.35">
      <c r="D226" s="26"/>
    </row>
    <row r="227" spans="4:4" x14ac:dyDescent="0.35">
      <c r="D227" s="26"/>
    </row>
    <row r="228" spans="4:4" x14ac:dyDescent="0.35">
      <c r="D228" s="26"/>
    </row>
    <row r="229" spans="4:4" x14ac:dyDescent="0.35">
      <c r="D229" s="26"/>
    </row>
    <row r="230" spans="4:4" x14ac:dyDescent="0.35">
      <c r="D230" s="26"/>
    </row>
    <row r="231" spans="4:4" x14ac:dyDescent="0.35">
      <c r="D231" s="26"/>
    </row>
    <row r="232" spans="4:4" x14ac:dyDescent="0.35">
      <c r="D232" s="26"/>
    </row>
    <row r="233" spans="4:4" x14ac:dyDescent="0.35">
      <c r="D233" s="26"/>
    </row>
    <row r="234" spans="4:4" x14ac:dyDescent="0.35">
      <c r="D234" s="26"/>
    </row>
    <row r="235" spans="4:4" x14ac:dyDescent="0.35">
      <c r="D235" s="26"/>
    </row>
    <row r="236" spans="4:4" x14ac:dyDescent="0.35">
      <c r="D236" s="26"/>
    </row>
    <row r="237" spans="4:4" x14ac:dyDescent="0.35">
      <c r="D237" s="26"/>
    </row>
    <row r="238" spans="4:4" x14ac:dyDescent="0.35">
      <c r="D238" s="26"/>
    </row>
    <row r="239" spans="4:4" x14ac:dyDescent="0.35">
      <c r="D239" s="26"/>
    </row>
    <row r="240" spans="4:4" x14ac:dyDescent="0.35">
      <c r="D240" s="26"/>
    </row>
    <row r="241" spans="4:4" x14ac:dyDescent="0.35">
      <c r="D241" s="26"/>
    </row>
    <row r="242" spans="4:4" x14ac:dyDescent="0.35">
      <c r="D242" s="26"/>
    </row>
    <row r="243" spans="4:4" x14ac:dyDescent="0.35">
      <c r="D243" s="26"/>
    </row>
    <row r="244" spans="4:4" x14ac:dyDescent="0.35">
      <c r="D244" s="26"/>
    </row>
    <row r="245" spans="4:4" x14ac:dyDescent="0.35">
      <c r="D245" s="26"/>
    </row>
    <row r="246" spans="4:4" x14ac:dyDescent="0.35">
      <c r="D246" s="26"/>
    </row>
    <row r="247" spans="4:4" x14ac:dyDescent="0.35">
      <c r="D247" s="26"/>
    </row>
    <row r="248" spans="4:4" x14ac:dyDescent="0.35">
      <c r="D248" s="26"/>
    </row>
    <row r="249" spans="4:4" x14ac:dyDescent="0.35">
      <c r="D249" s="26"/>
    </row>
    <row r="250" spans="4:4" x14ac:dyDescent="0.35">
      <c r="D250" s="26"/>
    </row>
    <row r="251" spans="4:4" x14ac:dyDescent="0.35">
      <c r="D251" s="26"/>
    </row>
    <row r="252" spans="4:4" x14ac:dyDescent="0.35">
      <c r="D252" s="26"/>
    </row>
    <row r="253" spans="4:4" x14ac:dyDescent="0.35">
      <c r="D253" s="26"/>
    </row>
    <row r="254" spans="4:4" x14ac:dyDescent="0.35">
      <c r="D254" s="26"/>
    </row>
    <row r="255" spans="4:4" x14ac:dyDescent="0.35">
      <c r="D255" s="26"/>
    </row>
    <row r="256" spans="4:4" x14ac:dyDescent="0.35">
      <c r="D256" s="26"/>
    </row>
    <row r="257" spans="4:4" x14ac:dyDescent="0.35">
      <c r="D257" s="26"/>
    </row>
    <row r="258" spans="4:4" x14ac:dyDescent="0.35">
      <c r="D258" s="26"/>
    </row>
    <row r="259" spans="4:4" x14ac:dyDescent="0.35">
      <c r="D259" s="26"/>
    </row>
    <row r="260" spans="4:4" x14ac:dyDescent="0.35">
      <c r="D260" s="26"/>
    </row>
    <row r="261" spans="4:4" x14ac:dyDescent="0.35">
      <c r="D261" s="26"/>
    </row>
    <row r="262" spans="4:4" x14ac:dyDescent="0.35">
      <c r="D262" s="26"/>
    </row>
    <row r="263" spans="4:4" x14ac:dyDescent="0.35">
      <c r="D263" s="26"/>
    </row>
    <row r="264" spans="4:4" x14ac:dyDescent="0.35">
      <c r="D264" s="26"/>
    </row>
    <row r="265" spans="4:4" x14ac:dyDescent="0.35">
      <c r="D265" s="26"/>
    </row>
    <row r="266" spans="4:4" x14ac:dyDescent="0.35">
      <c r="D266" s="26"/>
    </row>
    <row r="267" spans="4:4" x14ac:dyDescent="0.35">
      <c r="D267" s="26"/>
    </row>
    <row r="268" spans="4:4" x14ac:dyDescent="0.35">
      <c r="D268" s="26"/>
    </row>
    <row r="269" spans="4:4" x14ac:dyDescent="0.35">
      <c r="D269" s="26"/>
    </row>
    <row r="270" spans="4:4" x14ac:dyDescent="0.35">
      <c r="D270" s="26"/>
    </row>
    <row r="271" spans="4:4" x14ac:dyDescent="0.35">
      <c r="D271" s="26"/>
    </row>
    <row r="272" spans="4:4" x14ac:dyDescent="0.35">
      <c r="D272" s="26"/>
    </row>
    <row r="273" spans="4:4" x14ac:dyDescent="0.35">
      <c r="D273" s="26"/>
    </row>
    <row r="274" spans="4:4" x14ac:dyDescent="0.35">
      <c r="D274" s="26"/>
    </row>
    <row r="275" spans="4:4" x14ac:dyDescent="0.35">
      <c r="D275" s="26"/>
    </row>
    <row r="276" spans="4:4" x14ac:dyDescent="0.35">
      <c r="D276" s="26"/>
    </row>
    <row r="277" spans="4:4" x14ac:dyDescent="0.35">
      <c r="D277" s="26"/>
    </row>
    <row r="278" spans="4:4" x14ac:dyDescent="0.35">
      <c r="D278" s="26"/>
    </row>
    <row r="279" spans="4:4" x14ac:dyDescent="0.35">
      <c r="D279" s="26"/>
    </row>
    <row r="280" spans="4:4" x14ac:dyDescent="0.35">
      <c r="D280" s="26"/>
    </row>
    <row r="281" spans="4:4" x14ac:dyDescent="0.35">
      <c r="D281" s="26"/>
    </row>
    <row r="282" spans="4:4" x14ac:dyDescent="0.35">
      <c r="D282" s="26"/>
    </row>
    <row r="283" spans="4:4" x14ac:dyDescent="0.35">
      <c r="D283" s="26"/>
    </row>
    <row r="284" spans="4:4" x14ac:dyDescent="0.35">
      <c r="D284" s="26"/>
    </row>
    <row r="285" spans="4:4" x14ac:dyDescent="0.35">
      <c r="D285" s="26"/>
    </row>
    <row r="286" spans="4:4" x14ac:dyDescent="0.35">
      <c r="D286" s="26"/>
    </row>
    <row r="287" spans="4:4" x14ac:dyDescent="0.35">
      <c r="D287" s="26"/>
    </row>
    <row r="288" spans="4:4" x14ac:dyDescent="0.35">
      <c r="D288" s="26"/>
    </row>
    <row r="289" spans="4:4" x14ac:dyDescent="0.35">
      <c r="D289" s="26"/>
    </row>
    <row r="290" spans="4:4" x14ac:dyDescent="0.35">
      <c r="D290" s="26"/>
    </row>
    <row r="291" spans="4:4" x14ac:dyDescent="0.35">
      <c r="D291" s="26"/>
    </row>
    <row r="292" spans="4:4" x14ac:dyDescent="0.35">
      <c r="D292" s="26"/>
    </row>
    <row r="293" spans="4:4" x14ac:dyDescent="0.35">
      <c r="D293" s="26"/>
    </row>
    <row r="294" spans="4:4" x14ac:dyDescent="0.35">
      <c r="D294" s="26"/>
    </row>
    <row r="295" spans="4:4" x14ac:dyDescent="0.35">
      <c r="D295" s="26"/>
    </row>
    <row r="296" spans="4:4" x14ac:dyDescent="0.35">
      <c r="D296" s="26"/>
    </row>
    <row r="297" spans="4:4" x14ac:dyDescent="0.35">
      <c r="D297" s="26"/>
    </row>
    <row r="298" spans="4:4" x14ac:dyDescent="0.35">
      <c r="D298" s="26"/>
    </row>
    <row r="299" spans="4:4" x14ac:dyDescent="0.35">
      <c r="D299" s="26"/>
    </row>
    <row r="300" spans="4:4" x14ac:dyDescent="0.35">
      <c r="D300" s="26"/>
    </row>
    <row r="301" spans="4:4" x14ac:dyDescent="0.35">
      <c r="D301" s="26"/>
    </row>
    <row r="302" spans="4:4" x14ac:dyDescent="0.35">
      <c r="D302" s="26"/>
    </row>
    <row r="303" spans="4:4" x14ac:dyDescent="0.35">
      <c r="D303" s="26"/>
    </row>
    <row r="304" spans="4:4" x14ac:dyDescent="0.35">
      <c r="D304" s="26"/>
    </row>
    <row r="305" spans="4:4" x14ac:dyDescent="0.35">
      <c r="D305" s="26"/>
    </row>
    <row r="306" spans="4:4" x14ac:dyDescent="0.35">
      <c r="D306" s="26"/>
    </row>
    <row r="307" spans="4:4" x14ac:dyDescent="0.35">
      <c r="D307" s="26"/>
    </row>
    <row r="308" spans="4:4" x14ac:dyDescent="0.35">
      <c r="D308" s="26"/>
    </row>
    <row r="309" spans="4:4" x14ac:dyDescent="0.35">
      <c r="D309" s="26"/>
    </row>
    <row r="310" spans="4:4" x14ac:dyDescent="0.35">
      <c r="D310" s="26"/>
    </row>
    <row r="311" spans="4:4" x14ac:dyDescent="0.35">
      <c r="D311" s="26"/>
    </row>
    <row r="312" spans="4:4" x14ac:dyDescent="0.35">
      <c r="D312" s="26"/>
    </row>
    <row r="313" spans="4:4" x14ac:dyDescent="0.35">
      <c r="D313" s="26"/>
    </row>
    <row r="314" spans="4:4" x14ac:dyDescent="0.35">
      <c r="D314" s="26"/>
    </row>
    <row r="315" spans="4:4" x14ac:dyDescent="0.35">
      <c r="D315" s="26"/>
    </row>
    <row r="316" spans="4:4" x14ac:dyDescent="0.35">
      <c r="D316" s="26"/>
    </row>
    <row r="317" spans="4:4" x14ac:dyDescent="0.35">
      <c r="D317" s="26"/>
    </row>
    <row r="318" spans="4:4" x14ac:dyDescent="0.35">
      <c r="D318" s="26"/>
    </row>
    <row r="319" spans="4:4" x14ac:dyDescent="0.35">
      <c r="D319" s="26"/>
    </row>
    <row r="320" spans="4:4" x14ac:dyDescent="0.35">
      <c r="D320" s="26"/>
    </row>
    <row r="321" spans="4:4" x14ac:dyDescent="0.35">
      <c r="D321" s="26"/>
    </row>
    <row r="322" spans="4:4" x14ac:dyDescent="0.35">
      <c r="D322" s="26"/>
    </row>
    <row r="323" spans="4:4" x14ac:dyDescent="0.35">
      <c r="D323" s="26"/>
    </row>
    <row r="324" spans="4:4" x14ac:dyDescent="0.35">
      <c r="D324" s="26"/>
    </row>
    <row r="325" spans="4:4" x14ac:dyDescent="0.35">
      <c r="D325" s="26"/>
    </row>
    <row r="326" spans="4:4" x14ac:dyDescent="0.35">
      <c r="D326" s="26"/>
    </row>
    <row r="327" spans="4:4" x14ac:dyDescent="0.35">
      <c r="D327" s="26"/>
    </row>
    <row r="328" spans="4:4" x14ac:dyDescent="0.35">
      <c r="D328" s="26"/>
    </row>
    <row r="329" spans="4:4" x14ac:dyDescent="0.35">
      <c r="D329" s="26"/>
    </row>
    <row r="330" spans="4:4" x14ac:dyDescent="0.35">
      <c r="D330" s="26"/>
    </row>
    <row r="331" spans="4:4" x14ac:dyDescent="0.35">
      <c r="D331" s="26"/>
    </row>
    <row r="332" spans="4:4" x14ac:dyDescent="0.35">
      <c r="D332" s="26"/>
    </row>
    <row r="333" spans="4:4" x14ac:dyDescent="0.35">
      <c r="D333" s="26"/>
    </row>
    <row r="334" spans="4:4" x14ac:dyDescent="0.35">
      <c r="D334" s="26"/>
    </row>
    <row r="335" spans="4:4" x14ac:dyDescent="0.35">
      <c r="D335" s="26"/>
    </row>
    <row r="336" spans="4:4" x14ac:dyDescent="0.35">
      <c r="D336" s="26"/>
    </row>
    <row r="337" spans="4:4" x14ac:dyDescent="0.35">
      <c r="D337" s="26"/>
    </row>
    <row r="338" spans="4:4" x14ac:dyDescent="0.35">
      <c r="D338" s="26"/>
    </row>
    <row r="339" spans="4:4" x14ac:dyDescent="0.35">
      <c r="D339" s="26"/>
    </row>
    <row r="340" spans="4:4" x14ac:dyDescent="0.35">
      <c r="D340" s="26"/>
    </row>
    <row r="341" spans="4:4" x14ac:dyDescent="0.35">
      <c r="D341" s="26"/>
    </row>
    <row r="342" spans="4:4" x14ac:dyDescent="0.35">
      <c r="D342" s="26"/>
    </row>
    <row r="343" spans="4:4" x14ac:dyDescent="0.35">
      <c r="D343" s="26"/>
    </row>
    <row r="344" spans="4:4" x14ac:dyDescent="0.35">
      <c r="D344" s="26"/>
    </row>
    <row r="345" spans="4:4" x14ac:dyDescent="0.35">
      <c r="D345" s="26"/>
    </row>
    <row r="346" spans="4:4" x14ac:dyDescent="0.35">
      <c r="D346" s="26"/>
    </row>
    <row r="347" spans="4:4" x14ac:dyDescent="0.35">
      <c r="D347" s="26"/>
    </row>
    <row r="348" spans="4:4" x14ac:dyDescent="0.35">
      <c r="D348" s="26"/>
    </row>
    <row r="349" spans="4:4" x14ac:dyDescent="0.35">
      <c r="D349" s="26"/>
    </row>
    <row r="350" spans="4:4" x14ac:dyDescent="0.35">
      <c r="D350" s="26"/>
    </row>
    <row r="351" spans="4:4" x14ac:dyDescent="0.35">
      <c r="D351" s="26"/>
    </row>
    <row r="352" spans="4:4" x14ac:dyDescent="0.35">
      <c r="D352" s="26"/>
    </row>
    <row r="353" spans="4:4" x14ac:dyDescent="0.35">
      <c r="D353" s="26"/>
    </row>
    <row r="354" spans="4:4" x14ac:dyDescent="0.35">
      <c r="D354" s="26"/>
    </row>
    <row r="355" spans="4:4" x14ac:dyDescent="0.35">
      <c r="D355" s="26"/>
    </row>
    <row r="356" spans="4:4" x14ac:dyDescent="0.35">
      <c r="D356" s="26"/>
    </row>
    <row r="357" spans="4:4" x14ac:dyDescent="0.35">
      <c r="D357" s="26"/>
    </row>
    <row r="358" spans="4:4" x14ac:dyDescent="0.35">
      <c r="D358" s="26"/>
    </row>
    <row r="359" spans="4:4" x14ac:dyDescent="0.35">
      <c r="D359" s="26"/>
    </row>
    <row r="360" spans="4:4" x14ac:dyDescent="0.35">
      <c r="D360" s="26"/>
    </row>
    <row r="361" spans="4:4" x14ac:dyDescent="0.35">
      <c r="D361" s="26"/>
    </row>
    <row r="362" spans="4:4" x14ac:dyDescent="0.35">
      <c r="D362" s="26"/>
    </row>
    <row r="363" spans="4:4" x14ac:dyDescent="0.35">
      <c r="D363" s="26"/>
    </row>
    <row r="364" spans="4:4" x14ac:dyDescent="0.35">
      <c r="D364" s="26"/>
    </row>
    <row r="365" spans="4:4" x14ac:dyDescent="0.35">
      <c r="D365" s="26"/>
    </row>
    <row r="366" spans="4:4" x14ac:dyDescent="0.35">
      <c r="D366" s="26"/>
    </row>
    <row r="367" spans="4:4" x14ac:dyDescent="0.35">
      <c r="D367" s="26"/>
    </row>
    <row r="368" spans="4:4" x14ac:dyDescent="0.35">
      <c r="D368" s="26"/>
    </row>
    <row r="369" spans="4:4" x14ac:dyDescent="0.35">
      <c r="D369" s="26"/>
    </row>
    <row r="370" spans="4:4" x14ac:dyDescent="0.35">
      <c r="D370" s="26"/>
    </row>
    <row r="371" spans="4:4" x14ac:dyDescent="0.35">
      <c r="D371" s="26"/>
    </row>
    <row r="372" spans="4:4" x14ac:dyDescent="0.35">
      <c r="D372" s="26"/>
    </row>
    <row r="373" spans="4:4" x14ac:dyDescent="0.35">
      <c r="D373" s="26"/>
    </row>
    <row r="374" spans="4:4" x14ac:dyDescent="0.35">
      <c r="D374" s="26"/>
    </row>
    <row r="375" spans="4:4" x14ac:dyDescent="0.35">
      <c r="D375" s="26"/>
    </row>
    <row r="376" spans="4:4" x14ac:dyDescent="0.35">
      <c r="D376" s="26"/>
    </row>
    <row r="377" spans="4:4" x14ac:dyDescent="0.35">
      <c r="D377" s="26"/>
    </row>
    <row r="378" spans="4:4" x14ac:dyDescent="0.35">
      <c r="D378" s="26"/>
    </row>
    <row r="379" spans="4:4" x14ac:dyDescent="0.35">
      <c r="D379" s="26"/>
    </row>
    <row r="380" spans="4:4" x14ac:dyDescent="0.35">
      <c r="D380" s="26"/>
    </row>
    <row r="381" spans="4:4" x14ac:dyDescent="0.35">
      <c r="D381" s="26"/>
    </row>
    <row r="382" spans="4:4" x14ac:dyDescent="0.35">
      <c r="D382" s="26"/>
    </row>
    <row r="383" spans="4:4" x14ac:dyDescent="0.35">
      <c r="D383" s="26"/>
    </row>
    <row r="384" spans="4:4" x14ac:dyDescent="0.35">
      <c r="D384" s="26"/>
    </row>
    <row r="385" spans="4:4" x14ac:dyDescent="0.35">
      <c r="D385" s="26"/>
    </row>
    <row r="386" spans="4:4" x14ac:dyDescent="0.35">
      <c r="D386" s="26"/>
    </row>
    <row r="387" spans="4:4" x14ac:dyDescent="0.35">
      <c r="D387" s="26"/>
    </row>
    <row r="388" spans="4:4" x14ac:dyDescent="0.35">
      <c r="D388" s="26"/>
    </row>
    <row r="389" spans="4:4" x14ac:dyDescent="0.35">
      <c r="D389" s="26"/>
    </row>
    <row r="390" spans="4:4" x14ac:dyDescent="0.35">
      <c r="D390" s="26"/>
    </row>
    <row r="391" spans="4:4" x14ac:dyDescent="0.35">
      <c r="D391" s="26"/>
    </row>
    <row r="392" spans="4:4" x14ac:dyDescent="0.35">
      <c r="D392" s="26"/>
    </row>
    <row r="393" spans="4:4" x14ac:dyDescent="0.35">
      <c r="D393" s="26"/>
    </row>
    <row r="394" spans="4:4" x14ac:dyDescent="0.35">
      <c r="D394" s="26"/>
    </row>
    <row r="395" spans="4:4" x14ac:dyDescent="0.35">
      <c r="D395" s="26"/>
    </row>
    <row r="396" spans="4:4" x14ac:dyDescent="0.35">
      <c r="D396" s="26"/>
    </row>
    <row r="397" spans="4:4" x14ac:dyDescent="0.35">
      <c r="D397" s="26"/>
    </row>
    <row r="398" spans="4:4" x14ac:dyDescent="0.35">
      <c r="D398" s="26"/>
    </row>
    <row r="399" spans="4:4" x14ac:dyDescent="0.35">
      <c r="D399" s="26"/>
    </row>
    <row r="400" spans="4:4" x14ac:dyDescent="0.35">
      <c r="D400" s="26"/>
    </row>
    <row r="401" spans="4:4" x14ac:dyDescent="0.35">
      <c r="D401" s="26"/>
    </row>
    <row r="402" spans="4:4" x14ac:dyDescent="0.35">
      <c r="D402" s="26"/>
    </row>
    <row r="403" spans="4:4" x14ac:dyDescent="0.35">
      <c r="D403" s="26"/>
    </row>
    <row r="404" spans="4:4" x14ac:dyDescent="0.35">
      <c r="D404" s="26"/>
    </row>
    <row r="405" spans="4:4" x14ac:dyDescent="0.35">
      <c r="D405" s="26"/>
    </row>
    <row r="406" spans="4:4" x14ac:dyDescent="0.35">
      <c r="D406" s="26"/>
    </row>
    <row r="407" spans="4:4" x14ac:dyDescent="0.35">
      <c r="D407" s="26"/>
    </row>
    <row r="408" spans="4:4" x14ac:dyDescent="0.35">
      <c r="D408" s="26"/>
    </row>
    <row r="409" spans="4:4" x14ac:dyDescent="0.35">
      <c r="D409" s="26"/>
    </row>
    <row r="410" spans="4:4" x14ac:dyDescent="0.35">
      <c r="D410" s="26"/>
    </row>
    <row r="411" spans="4:4" x14ac:dyDescent="0.35">
      <c r="D411" s="26"/>
    </row>
    <row r="412" spans="4:4" x14ac:dyDescent="0.35">
      <c r="D412" s="26"/>
    </row>
    <row r="413" spans="4:4" x14ac:dyDescent="0.35">
      <c r="D413" s="26"/>
    </row>
    <row r="414" spans="4:4" x14ac:dyDescent="0.35">
      <c r="D414" s="26"/>
    </row>
    <row r="415" spans="4:4" x14ac:dyDescent="0.35">
      <c r="D415" s="26"/>
    </row>
    <row r="416" spans="4:4" x14ac:dyDescent="0.35">
      <c r="D416" s="26"/>
    </row>
    <row r="417" spans="4:4" x14ac:dyDescent="0.35">
      <c r="D417" s="26"/>
    </row>
    <row r="418" spans="4:4" x14ac:dyDescent="0.35">
      <c r="D418" s="26"/>
    </row>
    <row r="419" spans="4:4" x14ac:dyDescent="0.35">
      <c r="D419" s="26"/>
    </row>
    <row r="420" spans="4:4" x14ac:dyDescent="0.35">
      <c r="D420" s="26"/>
    </row>
    <row r="421" spans="4:4" x14ac:dyDescent="0.35">
      <c r="D421" s="26"/>
    </row>
    <row r="422" spans="4:4" x14ac:dyDescent="0.35">
      <c r="D422" s="26"/>
    </row>
    <row r="423" spans="4:4" x14ac:dyDescent="0.35">
      <c r="D423" s="26"/>
    </row>
    <row r="424" spans="4:4" x14ac:dyDescent="0.35">
      <c r="D424" s="26"/>
    </row>
    <row r="425" spans="4:4" x14ac:dyDescent="0.35">
      <c r="D425" s="26"/>
    </row>
    <row r="426" spans="4:4" x14ac:dyDescent="0.35">
      <c r="D426" s="26"/>
    </row>
    <row r="427" spans="4:4" x14ac:dyDescent="0.35">
      <c r="D427" s="26"/>
    </row>
    <row r="428" spans="4:4" x14ac:dyDescent="0.35">
      <c r="D428" s="26"/>
    </row>
    <row r="429" spans="4:4" x14ac:dyDescent="0.35">
      <c r="D429" s="26"/>
    </row>
    <row r="430" spans="4:4" x14ac:dyDescent="0.35">
      <c r="D430" s="26"/>
    </row>
    <row r="431" spans="4:4" x14ac:dyDescent="0.35">
      <c r="D431" s="26"/>
    </row>
    <row r="432" spans="4:4" x14ac:dyDescent="0.35">
      <c r="D432" s="26"/>
    </row>
    <row r="433" spans="4:4" x14ac:dyDescent="0.35">
      <c r="D433" s="26"/>
    </row>
    <row r="434" spans="4:4" x14ac:dyDescent="0.35">
      <c r="D434" s="26"/>
    </row>
    <row r="435" spans="4:4" x14ac:dyDescent="0.35">
      <c r="D435" s="26"/>
    </row>
    <row r="436" spans="4:4" x14ac:dyDescent="0.35">
      <c r="D436" s="26"/>
    </row>
    <row r="437" spans="4:4" x14ac:dyDescent="0.35">
      <c r="D437" s="26"/>
    </row>
    <row r="438" spans="4:4" x14ac:dyDescent="0.35">
      <c r="D438" s="26"/>
    </row>
    <row r="439" spans="4:4" x14ac:dyDescent="0.35">
      <c r="D439" s="26"/>
    </row>
    <row r="440" spans="4:4" x14ac:dyDescent="0.35">
      <c r="D440" s="26"/>
    </row>
    <row r="441" spans="4:4" x14ac:dyDescent="0.35">
      <c r="D441" s="26"/>
    </row>
    <row r="442" spans="4:4" x14ac:dyDescent="0.35">
      <c r="D442" s="26"/>
    </row>
    <row r="443" spans="4:4" x14ac:dyDescent="0.35">
      <c r="D443" s="26"/>
    </row>
    <row r="444" spans="4:4" x14ac:dyDescent="0.35">
      <c r="D444" s="26"/>
    </row>
    <row r="445" spans="4:4" x14ac:dyDescent="0.35">
      <c r="D445" s="26"/>
    </row>
    <row r="446" spans="4:4" x14ac:dyDescent="0.35">
      <c r="D446" s="26"/>
    </row>
    <row r="447" spans="4:4" x14ac:dyDescent="0.35">
      <c r="D447" s="26"/>
    </row>
    <row r="448" spans="4:4" x14ac:dyDescent="0.35">
      <c r="D448" s="26"/>
    </row>
    <row r="449" spans="4:4" x14ac:dyDescent="0.35">
      <c r="D449" s="26"/>
    </row>
    <row r="450" spans="4:4" x14ac:dyDescent="0.35">
      <c r="D450" s="26"/>
    </row>
    <row r="451" spans="4:4" x14ac:dyDescent="0.35">
      <c r="D451" s="26"/>
    </row>
    <row r="452" spans="4:4" x14ac:dyDescent="0.35">
      <c r="D452" s="26"/>
    </row>
    <row r="453" spans="4:4" x14ac:dyDescent="0.35">
      <c r="D453" s="26"/>
    </row>
    <row r="454" spans="4:4" x14ac:dyDescent="0.35">
      <c r="D454" s="26"/>
    </row>
    <row r="455" spans="4:4" x14ac:dyDescent="0.35">
      <c r="D455" s="26"/>
    </row>
    <row r="456" spans="4:4" x14ac:dyDescent="0.35">
      <c r="D456" s="26"/>
    </row>
    <row r="457" spans="4:4" x14ac:dyDescent="0.35">
      <c r="D457" s="26"/>
    </row>
    <row r="458" spans="4:4" x14ac:dyDescent="0.35">
      <c r="D458" s="26"/>
    </row>
    <row r="459" spans="4:4" x14ac:dyDescent="0.35">
      <c r="D459" s="26"/>
    </row>
    <row r="460" spans="4:4" x14ac:dyDescent="0.35">
      <c r="D460" s="26"/>
    </row>
    <row r="461" spans="4:4" x14ac:dyDescent="0.35">
      <c r="D461" s="26"/>
    </row>
    <row r="462" spans="4:4" x14ac:dyDescent="0.35">
      <c r="D462" s="26"/>
    </row>
    <row r="463" spans="4:4" x14ac:dyDescent="0.35">
      <c r="D463" s="26"/>
    </row>
    <row r="464" spans="4:4" x14ac:dyDescent="0.35">
      <c r="D464" s="26"/>
    </row>
    <row r="465" spans="4:4" x14ac:dyDescent="0.35">
      <c r="D465" s="26"/>
    </row>
    <row r="466" spans="4:4" x14ac:dyDescent="0.35">
      <c r="D466" s="26"/>
    </row>
    <row r="467" spans="4:4" x14ac:dyDescent="0.35">
      <c r="D467" s="26"/>
    </row>
    <row r="468" spans="4:4" x14ac:dyDescent="0.35">
      <c r="D468" s="26"/>
    </row>
    <row r="469" spans="4:4" x14ac:dyDescent="0.35">
      <c r="D469" s="26"/>
    </row>
    <row r="470" spans="4:4" x14ac:dyDescent="0.35">
      <c r="D470" s="26"/>
    </row>
    <row r="471" spans="4:4" x14ac:dyDescent="0.35">
      <c r="D471" s="26"/>
    </row>
    <row r="472" spans="4:4" x14ac:dyDescent="0.35">
      <c r="D472" s="26"/>
    </row>
    <row r="473" spans="4:4" x14ac:dyDescent="0.35">
      <c r="D473" s="26"/>
    </row>
    <row r="474" spans="4:4" x14ac:dyDescent="0.35">
      <c r="D474" s="26"/>
    </row>
    <row r="475" spans="4:4" x14ac:dyDescent="0.35">
      <c r="D475" s="26"/>
    </row>
    <row r="476" spans="4:4" x14ac:dyDescent="0.35">
      <c r="D476" s="26"/>
    </row>
    <row r="477" spans="4:4" x14ac:dyDescent="0.35">
      <c r="D477" s="26"/>
    </row>
    <row r="478" spans="4:4" x14ac:dyDescent="0.35">
      <c r="D478" s="26"/>
    </row>
    <row r="479" spans="4:4" x14ac:dyDescent="0.35">
      <c r="D479" s="26"/>
    </row>
    <row r="480" spans="4:4" x14ac:dyDescent="0.35">
      <c r="D480" s="26"/>
    </row>
    <row r="481" spans="4:4" x14ac:dyDescent="0.35">
      <c r="D481" s="26"/>
    </row>
    <row r="482" spans="4:4" x14ac:dyDescent="0.35">
      <c r="D482" s="26"/>
    </row>
    <row r="483" spans="4:4" x14ac:dyDescent="0.35">
      <c r="D483" s="26"/>
    </row>
    <row r="484" spans="4:4" x14ac:dyDescent="0.35">
      <c r="D484" s="26"/>
    </row>
    <row r="485" spans="4:4" x14ac:dyDescent="0.35">
      <c r="D485" s="26"/>
    </row>
    <row r="486" spans="4:4" x14ac:dyDescent="0.35">
      <c r="D486" s="26"/>
    </row>
    <row r="487" spans="4:4" x14ac:dyDescent="0.35">
      <c r="D487" s="26"/>
    </row>
    <row r="488" spans="4:4" x14ac:dyDescent="0.35">
      <c r="D488" s="26"/>
    </row>
    <row r="489" spans="4:4" x14ac:dyDescent="0.35">
      <c r="D489" s="26"/>
    </row>
    <row r="490" spans="4:4" x14ac:dyDescent="0.35">
      <c r="D490" s="26"/>
    </row>
    <row r="491" spans="4:4" x14ac:dyDescent="0.35">
      <c r="D491" s="26"/>
    </row>
    <row r="492" spans="4:4" x14ac:dyDescent="0.35">
      <c r="D492" s="26"/>
    </row>
    <row r="493" spans="4:4" x14ac:dyDescent="0.35">
      <c r="D493" s="26"/>
    </row>
    <row r="494" spans="4:4" x14ac:dyDescent="0.35">
      <c r="D494" s="26"/>
    </row>
    <row r="495" spans="4:4" x14ac:dyDescent="0.35">
      <c r="D495" s="26"/>
    </row>
    <row r="496" spans="4:4" x14ac:dyDescent="0.35">
      <c r="D496" s="26"/>
    </row>
    <row r="497" spans="4:4" x14ac:dyDescent="0.35">
      <c r="D497" s="26"/>
    </row>
    <row r="498" spans="4:4" x14ac:dyDescent="0.35">
      <c r="D498" s="26"/>
    </row>
    <row r="499" spans="4:4" x14ac:dyDescent="0.35">
      <c r="D499" s="26"/>
    </row>
    <row r="500" spans="4:4" x14ac:dyDescent="0.35">
      <c r="D500" s="26"/>
    </row>
    <row r="501" spans="4:4" x14ac:dyDescent="0.35">
      <c r="D501" s="26"/>
    </row>
    <row r="502" spans="4:4" x14ac:dyDescent="0.35">
      <c r="D502" s="26"/>
    </row>
    <row r="503" spans="4:4" x14ac:dyDescent="0.35">
      <c r="D503" s="26"/>
    </row>
    <row r="504" spans="4:4" x14ac:dyDescent="0.35">
      <c r="D504" s="26"/>
    </row>
    <row r="505" spans="4:4" x14ac:dyDescent="0.35">
      <c r="D505" s="26"/>
    </row>
    <row r="506" spans="4:4" x14ac:dyDescent="0.35">
      <c r="D506" s="26"/>
    </row>
    <row r="507" spans="4:4" x14ac:dyDescent="0.35">
      <c r="D507" s="26"/>
    </row>
    <row r="508" spans="4:4" x14ac:dyDescent="0.35">
      <c r="D508" s="26"/>
    </row>
    <row r="509" spans="4:4" x14ac:dyDescent="0.35">
      <c r="D509" s="26"/>
    </row>
    <row r="510" spans="4:4" x14ac:dyDescent="0.35">
      <c r="D510" s="26"/>
    </row>
    <row r="511" spans="4:4" x14ac:dyDescent="0.35">
      <c r="D511" s="26"/>
    </row>
    <row r="512" spans="4:4" x14ac:dyDescent="0.35">
      <c r="D512" s="26"/>
    </row>
    <row r="513" spans="4:4" x14ac:dyDescent="0.35">
      <c r="D513" s="26"/>
    </row>
    <row r="514" spans="4:4" x14ac:dyDescent="0.35">
      <c r="D514" s="26"/>
    </row>
    <row r="515" spans="4:4" x14ac:dyDescent="0.35">
      <c r="D515" s="26"/>
    </row>
    <row r="516" spans="4:4" x14ac:dyDescent="0.35">
      <c r="D516" s="26"/>
    </row>
    <row r="517" spans="4:4" x14ac:dyDescent="0.35">
      <c r="D517" s="26"/>
    </row>
    <row r="518" spans="4:4" x14ac:dyDescent="0.35">
      <c r="D518" s="26"/>
    </row>
    <row r="519" spans="4:4" x14ac:dyDescent="0.35">
      <c r="D519" s="26"/>
    </row>
    <row r="520" spans="4:4" x14ac:dyDescent="0.35">
      <c r="D520" s="26"/>
    </row>
    <row r="521" spans="4:4" x14ac:dyDescent="0.35">
      <c r="D521" s="26"/>
    </row>
    <row r="522" spans="4:4" x14ac:dyDescent="0.35">
      <c r="D522" s="26"/>
    </row>
    <row r="523" spans="4:4" x14ac:dyDescent="0.35">
      <c r="D523" s="26"/>
    </row>
    <row r="524" spans="4:4" x14ac:dyDescent="0.35">
      <c r="D524" s="26"/>
    </row>
    <row r="525" spans="4:4" x14ac:dyDescent="0.35">
      <c r="D525" s="26"/>
    </row>
    <row r="526" spans="4:4" x14ac:dyDescent="0.35">
      <c r="D526" s="26"/>
    </row>
    <row r="527" spans="4:4" x14ac:dyDescent="0.35">
      <c r="D527" s="26"/>
    </row>
    <row r="528" spans="4:4" x14ac:dyDescent="0.35">
      <c r="D528" s="26"/>
    </row>
    <row r="529" spans="4:4" x14ac:dyDescent="0.35">
      <c r="D529" s="26"/>
    </row>
    <row r="530" spans="4:4" x14ac:dyDescent="0.35">
      <c r="D530" s="26"/>
    </row>
    <row r="531" spans="4:4" x14ac:dyDescent="0.35">
      <c r="D531" s="26"/>
    </row>
    <row r="532" spans="4:4" x14ac:dyDescent="0.35">
      <c r="D532" s="26"/>
    </row>
    <row r="533" spans="4:4" x14ac:dyDescent="0.35">
      <c r="D533" s="26"/>
    </row>
    <row r="534" spans="4:4" x14ac:dyDescent="0.35">
      <c r="D534" s="26"/>
    </row>
    <row r="535" spans="4:4" x14ac:dyDescent="0.35">
      <c r="D535" s="26"/>
    </row>
    <row r="536" spans="4:4" x14ac:dyDescent="0.35">
      <c r="D536" s="26"/>
    </row>
    <row r="537" spans="4:4" x14ac:dyDescent="0.35">
      <c r="D537" s="26"/>
    </row>
    <row r="538" spans="4:4" x14ac:dyDescent="0.35">
      <c r="D538" s="26"/>
    </row>
    <row r="539" spans="4:4" x14ac:dyDescent="0.35">
      <c r="D539" s="26"/>
    </row>
    <row r="540" spans="4:4" x14ac:dyDescent="0.35">
      <c r="D540" s="26"/>
    </row>
    <row r="541" spans="4:4" x14ac:dyDescent="0.35">
      <c r="D541" s="26"/>
    </row>
    <row r="542" spans="4:4" x14ac:dyDescent="0.35">
      <c r="D542" s="26"/>
    </row>
    <row r="543" spans="4:4" x14ac:dyDescent="0.35">
      <c r="D543" s="26"/>
    </row>
    <row r="544" spans="4:4" x14ac:dyDescent="0.35">
      <c r="D544" s="26"/>
    </row>
    <row r="545" spans="4:4" x14ac:dyDescent="0.35">
      <c r="D545" s="26"/>
    </row>
    <row r="546" spans="4:4" x14ac:dyDescent="0.35">
      <c r="D546" s="26"/>
    </row>
    <row r="547" spans="4:4" x14ac:dyDescent="0.35">
      <c r="D547" s="26"/>
    </row>
    <row r="548" spans="4:4" x14ac:dyDescent="0.35">
      <c r="D548" s="26"/>
    </row>
    <row r="549" spans="4:4" x14ac:dyDescent="0.35">
      <c r="D549" s="26"/>
    </row>
    <row r="550" spans="4:4" x14ac:dyDescent="0.35">
      <c r="D550" s="26"/>
    </row>
    <row r="551" spans="4:4" x14ac:dyDescent="0.35">
      <c r="D551" s="26"/>
    </row>
    <row r="552" spans="4:4" x14ac:dyDescent="0.35">
      <c r="D552" s="26"/>
    </row>
    <row r="553" spans="4:4" x14ac:dyDescent="0.35">
      <c r="D553" s="26"/>
    </row>
    <row r="554" spans="4:4" x14ac:dyDescent="0.35">
      <c r="D554" s="26"/>
    </row>
    <row r="555" spans="4:4" x14ac:dyDescent="0.35">
      <c r="D555" s="26"/>
    </row>
    <row r="556" spans="4:4" x14ac:dyDescent="0.35">
      <c r="D556" s="26"/>
    </row>
    <row r="557" spans="4:4" x14ac:dyDescent="0.35">
      <c r="D557" s="26"/>
    </row>
    <row r="558" spans="4:4" x14ac:dyDescent="0.35">
      <c r="D558" s="26"/>
    </row>
    <row r="559" spans="4:4" x14ac:dyDescent="0.35">
      <c r="D559" s="26"/>
    </row>
    <row r="560" spans="4:4" x14ac:dyDescent="0.35">
      <c r="D560" s="26"/>
    </row>
    <row r="561" spans="4:4" x14ac:dyDescent="0.35">
      <c r="D561" s="26"/>
    </row>
    <row r="562" spans="4:4" x14ac:dyDescent="0.35">
      <c r="D562" s="26"/>
    </row>
    <row r="563" spans="4:4" x14ac:dyDescent="0.35">
      <c r="D563" s="26"/>
    </row>
    <row r="564" spans="4:4" x14ac:dyDescent="0.35">
      <c r="D564" s="26"/>
    </row>
    <row r="565" spans="4:4" x14ac:dyDescent="0.35">
      <c r="D565" s="26"/>
    </row>
    <row r="566" spans="4:4" x14ac:dyDescent="0.35">
      <c r="D566" s="26"/>
    </row>
    <row r="567" spans="4:4" x14ac:dyDescent="0.35">
      <c r="D567" s="26"/>
    </row>
    <row r="568" spans="4:4" x14ac:dyDescent="0.35">
      <c r="D568" s="26"/>
    </row>
    <row r="569" spans="4:4" x14ac:dyDescent="0.35">
      <c r="D569" s="26"/>
    </row>
    <row r="570" spans="4:4" x14ac:dyDescent="0.35">
      <c r="D570" s="26"/>
    </row>
    <row r="571" spans="4:4" x14ac:dyDescent="0.35">
      <c r="D571" s="26"/>
    </row>
    <row r="572" spans="4:4" x14ac:dyDescent="0.35">
      <c r="D572" s="26"/>
    </row>
    <row r="573" spans="4:4" x14ac:dyDescent="0.35">
      <c r="D573" s="26"/>
    </row>
    <row r="574" spans="4:4" x14ac:dyDescent="0.35">
      <c r="D574" s="26"/>
    </row>
    <row r="575" spans="4:4" x14ac:dyDescent="0.35">
      <c r="D575" s="26"/>
    </row>
    <row r="576" spans="4:4" x14ac:dyDescent="0.35">
      <c r="D576" s="26"/>
    </row>
    <row r="577" spans="4:4" x14ac:dyDescent="0.35">
      <c r="D577" s="26"/>
    </row>
    <row r="578" spans="4:4" x14ac:dyDescent="0.35">
      <c r="D578" s="26"/>
    </row>
    <row r="579" spans="4:4" x14ac:dyDescent="0.35">
      <c r="D579" s="26"/>
    </row>
    <row r="580" spans="4:4" x14ac:dyDescent="0.35">
      <c r="D580" s="26"/>
    </row>
    <row r="581" spans="4:4" x14ac:dyDescent="0.35">
      <c r="D581" s="26"/>
    </row>
    <row r="582" spans="4:4" x14ac:dyDescent="0.35">
      <c r="D582" s="26"/>
    </row>
    <row r="583" spans="4:4" x14ac:dyDescent="0.35">
      <c r="D583" s="26"/>
    </row>
    <row r="584" spans="4:4" x14ac:dyDescent="0.35">
      <c r="D584" s="26"/>
    </row>
    <row r="585" spans="4:4" x14ac:dyDescent="0.35">
      <c r="D585" s="26"/>
    </row>
    <row r="586" spans="4:4" x14ac:dyDescent="0.35">
      <c r="D586" s="26"/>
    </row>
    <row r="587" spans="4:4" x14ac:dyDescent="0.35">
      <c r="D587" s="26"/>
    </row>
    <row r="588" spans="4:4" x14ac:dyDescent="0.35">
      <c r="D588" s="26"/>
    </row>
    <row r="589" spans="4:4" x14ac:dyDescent="0.35">
      <c r="D589" s="26"/>
    </row>
    <row r="590" spans="4:4" x14ac:dyDescent="0.35">
      <c r="D590" s="26"/>
    </row>
    <row r="591" spans="4:4" x14ac:dyDescent="0.35">
      <c r="D591" s="26"/>
    </row>
    <row r="592" spans="4:4" x14ac:dyDescent="0.35">
      <c r="D592" s="26"/>
    </row>
    <row r="593" spans="4:4" x14ac:dyDescent="0.35">
      <c r="D593" s="26"/>
    </row>
    <row r="594" spans="4:4" x14ac:dyDescent="0.35">
      <c r="D594" s="26"/>
    </row>
    <row r="595" spans="4:4" x14ac:dyDescent="0.35">
      <c r="D595" s="26"/>
    </row>
    <row r="596" spans="4:4" x14ac:dyDescent="0.35">
      <c r="D596" s="26"/>
    </row>
    <row r="597" spans="4:4" x14ac:dyDescent="0.35">
      <c r="D597" s="26"/>
    </row>
    <row r="598" spans="4:4" x14ac:dyDescent="0.35">
      <c r="D598" s="26"/>
    </row>
    <row r="599" spans="4:4" x14ac:dyDescent="0.35">
      <c r="D599" s="26"/>
    </row>
    <row r="600" spans="4:4" x14ac:dyDescent="0.35">
      <c r="D600" s="26"/>
    </row>
    <row r="601" spans="4:4" x14ac:dyDescent="0.35">
      <c r="D601" s="26"/>
    </row>
    <row r="602" spans="4:4" x14ac:dyDescent="0.35">
      <c r="D602" s="26"/>
    </row>
    <row r="603" spans="4:4" x14ac:dyDescent="0.35">
      <c r="D603" s="26"/>
    </row>
    <row r="604" spans="4:4" x14ac:dyDescent="0.35">
      <c r="D604" s="26"/>
    </row>
    <row r="605" spans="4:4" x14ac:dyDescent="0.35">
      <c r="D605" s="26"/>
    </row>
    <row r="606" spans="4:4" x14ac:dyDescent="0.35">
      <c r="D606" s="26"/>
    </row>
    <row r="607" spans="4:4" x14ac:dyDescent="0.35">
      <c r="D607" s="26"/>
    </row>
    <row r="608" spans="4:4" x14ac:dyDescent="0.35">
      <c r="D608" s="26"/>
    </row>
    <row r="609" spans="4:4" x14ac:dyDescent="0.35">
      <c r="D609" s="26"/>
    </row>
    <row r="610" spans="4:4" x14ac:dyDescent="0.35">
      <c r="D610" s="26"/>
    </row>
    <row r="611" spans="4:4" x14ac:dyDescent="0.35">
      <c r="D611" s="26"/>
    </row>
    <row r="612" spans="4:4" x14ac:dyDescent="0.35">
      <c r="D612" s="26"/>
    </row>
    <row r="613" spans="4:4" x14ac:dyDescent="0.35">
      <c r="D613" s="26"/>
    </row>
    <row r="614" spans="4:4" x14ac:dyDescent="0.35">
      <c r="D614" s="26"/>
    </row>
    <row r="615" spans="4:4" x14ac:dyDescent="0.35">
      <c r="D615" s="26"/>
    </row>
    <row r="616" spans="4:4" x14ac:dyDescent="0.35">
      <c r="D616" s="26"/>
    </row>
    <row r="617" spans="4:4" x14ac:dyDescent="0.35">
      <c r="D617" s="26"/>
    </row>
    <row r="618" spans="4:4" x14ac:dyDescent="0.35">
      <c r="D618" s="26"/>
    </row>
    <row r="619" spans="4:4" x14ac:dyDescent="0.35">
      <c r="D619" s="26"/>
    </row>
    <row r="620" spans="4:4" x14ac:dyDescent="0.35">
      <c r="D620" s="26"/>
    </row>
    <row r="621" spans="4:4" x14ac:dyDescent="0.35">
      <c r="D621" s="26"/>
    </row>
    <row r="622" spans="4:4" x14ac:dyDescent="0.35">
      <c r="D622" s="26"/>
    </row>
    <row r="623" spans="4:4" x14ac:dyDescent="0.35">
      <c r="D623" s="26"/>
    </row>
    <row r="624" spans="4:4" x14ac:dyDescent="0.35">
      <c r="D624" s="26"/>
    </row>
    <row r="625" spans="4:4" x14ac:dyDescent="0.35">
      <c r="D625" s="26"/>
    </row>
    <row r="626" spans="4:4" x14ac:dyDescent="0.35">
      <c r="D626" s="26"/>
    </row>
    <row r="627" spans="4:4" x14ac:dyDescent="0.35">
      <c r="D627" s="26"/>
    </row>
    <row r="628" spans="4:4" x14ac:dyDescent="0.35">
      <c r="D628" s="26"/>
    </row>
    <row r="629" spans="4:4" x14ac:dyDescent="0.35">
      <c r="D629" s="26"/>
    </row>
    <row r="630" spans="4:4" x14ac:dyDescent="0.35">
      <c r="D630" s="26"/>
    </row>
    <row r="631" spans="4:4" x14ac:dyDescent="0.35">
      <c r="D631" s="26"/>
    </row>
    <row r="632" spans="4:4" x14ac:dyDescent="0.35">
      <c r="D632" s="26"/>
    </row>
    <row r="633" spans="4:4" x14ac:dyDescent="0.35">
      <c r="D633" s="26"/>
    </row>
    <row r="634" spans="4:4" x14ac:dyDescent="0.35">
      <c r="D634" s="26"/>
    </row>
    <row r="635" spans="4:4" x14ac:dyDescent="0.35">
      <c r="D635" s="26"/>
    </row>
    <row r="636" spans="4:4" x14ac:dyDescent="0.35">
      <c r="D636" s="26"/>
    </row>
    <row r="637" spans="4:4" x14ac:dyDescent="0.35">
      <c r="D637" s="26"/>
    </row>
    <row r="638" spans="4:4" x14ac:dyDescent="0.35">
      <c r="D638" s="26"/>
    </row>
    <row r="639" spans="4:4" x14ac:dyDescent="0.35">
      <c r="D639" s="26"/>
    </row>
    <row r="640" spans="4:4" x14ac:dyDescent="0.35">
      <c r="D640" s="26"/>
    </row>
    <row r="641" spans="4:4" x14ac:dyDescent="0.35">
      <c r="D641" s="26"/>
    </row>
    <row r="642" spans="4:4" x14ac:dyDescent="0.35">
      <c r="D642" s="26"/>
    </row>
    <row r="643" spans="4:4" x14ac:dyDescent="0.35">
      <c r="D643" s="26"/>
    </row>
    <row r="644" spans="4:4" x14ac:dyDescent="0.35">
      <c r="D644" s="26"/>
    </row>
    <row r="645" spans="4:4" x14ac:dyDescent="0.35">
      <c r="D645" s="26"/>
    </row>
    <row r="646" spans="4:4" x14ac:dyDescent="0.35">
      <c r="D646" s="26"/>
    </row>
    <row r="647" spans="4:4" x14ac:dyDescent="0.35">
      <c r="D647" s="26"/>
    </row>
    <row r="648" spans="4:4" x14ac:dyDescent="0.35">
      <c r="D648" s="26"/>
    </row>
    <row r="649" spans="4:4" x14ac:dyDescent="0.35">
      <c r="D649" s="26"/>
    </row>
    <row r="650" spans="4:4" x14ac:dyDescent="0.35">
      <c r="D650" s="26"/>
    </row>
    <row r="651" spans="4:4" x14ac:dyDescent="0.35">
      <c r="D651" s="26"/>
    </row>
    <row r="652" spans="4:4" x14ac:dyDescent="0.35">
      <c r="D652" s="26"/>
    </row>
    <row r="653" spans="4:4" x14ac:dyDescent="0.35">
      <c r="D653" s="26"/>
    </row>
    <row r="654" spans="4:4" x14ac:dyDescent="0.35">
      <c r="D654" s="26"/>
    </row>
    <row r="655" spans="4:4" x14ac:dyDescent="0.35">
      <c r="D655" s="26"/>
    </row>
    <row r="656" spans="4:4" x14ac:dyDescent="0.35">
      <c r="D656" s="26"/>
    </row>
    <row r="657" spans="4:4" x14ac:dyDescent="0.35">
      <c r="D657" s="26"/>
    </row>
    <row r="658" spans="4:4" x14ac:dyDescent="0.35">
      <c r="D658" s="26"/>
    </row>
    <row r="659" spans="4:4" x14ac:dyDescent="0.35">
      <c r="D659" s="26"/>
    </row>
    <row r="660" spans="4:4" x14ac:dyDescent="0.35">
      <c r="D660" s="26"/>
    </row>
    <row r="661" spans="4:4" x14ac:dyDescent="0.35">
      <c r="D661" s="26"/>
    </row>
    <row r="662" spans="4:4" x14ac:dyDescent="0.35">
      <c r="D662" s="26"/>
    </row>
    <row r="663" spans="4:4" x14ac:dyDescent="0.35">
      <c r="D663" s="26"/>
    </row>
    <row r="664" spans="4:4" x14ac:dyDescent="0.35">
      <c r="D664" s="26"/>
    </row>
    <row r="665" spans="4:4" x14ac:dyDescent="0.35">
      <c r="D665" s="26"/>
    </row>
    <row r="666" spans="4:4" x14ac:dyDescent="0.35">
      <c r="D666" s="26"/>
    </row>
    <row r="667" spans="4:4" x14ac:dyDescent="0.35">
      <c r="D667" s="26"/>
    </row>
    <row r="668" spans="4:4" x14ac:dyDescent="0.35">
      <c r="D668" s="26"/>
    </row>
    <row r="669" spans="4:4" x14ac:dyDescent="0.35">
      <c r="D669" s="26"/>
    </row>
    <row r="670" spans="4:4" x14ac:dyDescent="0.35">
      <c r="D670" s="26"/>
    </row>
    <row r="671" spans="4:4" x14ac:dyDescent="0.35">
      <c r="D671" s="26"/>
    </row>
    <row r="672" spans="4:4" x14ac:dyDescent="0.35">
      <c r="D672" s="26"/>
    </row>
    <row r="673" spans="4:4" x14ac:dyDescent="0.35">
      <c r="D673" s="26"/>
    </row>
    <row r="674" spans="4:4" x14ac:dyDescent="0.35">
      <c r="D674" s="26"/>
    </row>
    <row r="675" spans="4:4" x14ac:dyDescent="0.35">
      <c r="D675" s="26"/>
    </row>
    <row r="676" spans="4:4" x14ac:dyDescent="0.35">
      <c r="D676" s="26"/>
    </row>
    <row r="677" spans="4:4" x14ac:dyDescent="0.35">
      <c r="D677" s="26"/>
    </row>
    <row r="678" spans="4:4" x14ac:dyDescent="0.35">
      <c r="D678" s="26"/>
    </row>
    <row r="679" spans="4:4" x14ac:dyDescent="0.35">
      <c r="D679" s="26"/>
    </row>
    <row r="680" spans="4:4" x14ac:dyDescent="0.35">
      <c r="D680" s="26"/>
    </row>
    <row r="681" spans="4:4" x14ac:dyDescent="0.35">
      <c r="D681" s="26"/>
    </row>
    <row r="682" spans="4:4" x14ac:dyDescent="0.35">
      <c r="D682" s="26"/>
    </row>
    <row r="683" spans="4:4" x14ac:dyDescent="0.35">
      <c r="D683" s="26"/>
    </row>
    <row r="684" spans="4:4" x14ac:dyDescent="0.35">
      <c r="D684" s="26"/>
    </row>
    <row r="685" spans="4:4" x14ac:dyDescent="0.35">
      <c r="D685" s="26"/>
    </row>
    <row r="686" spans="4:4" x14ac:dyDescent="0.35">
      <c r="D686" s="26"/>
    </row>
    <row r="687" spans="4:4" x14ac:dyDescent="0.35">
      <c r="D687" s="26"/>
    </row>
    <row r="688" spans="4:4" x14ac:dyDescent="0.35">
      <c r="D688" s="26"/>
    </row>
    <row r="689" spans="4:4" x14ac:dyDescent="0.35">
      <c r="D689" s="26"/>
    </row>
    <row r="690" spans="4:4" x14ac:dyDescent="0.35">
      <c r="D690" s="26"/>
    </row>
    <row r="691" spans="4:4" x14ac:dyDescent="0.35">
      <c r="D691" s="26"/>
    </row>
    <row r="692" spans="4:4" x14ac:dyDescent="0.35">
      <c r="D692" s="26"/>
    </row>
    <row r="693" spans="4:4" x14ac:dyDescent="0.35">
      <c r="D693" s="26"/>
    </row>
    <row r="694" spans="4:4" x14ac:dyDescent="0.35">
      <c r="D694" s="26"/>
    </row>
    <row r="695" spans="4:4" x14ac:dyDescent="0.35">
      <c r="D695" s="26"/>
    </row>
    <row r="696" spans="4:4" x14ac:dyDescent="0.35">
      <c r="D696" s="26"/>
    </row>
    <row r="697" spans="4:4" x14ac:dyDescent="0.35">
      <c r="D697" s="26"/>
    </row>
    <row r="698" spans="4:4" x14ac:dyDescent="0.35">
      <c r="D698" s="26"/>
    </row>
    <row r="699" spans="4:4" x14ac:dyDescent="0.35">
      <c r="D699" s="26"/>
    </row>
    <row r="700" spans="4:4" x14ac:dyDescent="0.35">
      <c r="D700" s="26"/>
    </row>
    <row r="701" spans="4:4" x14ac:dyDescent="0.35">
      <c r="D701" s="26"/>
    </row>
    <row r="702" spans="4:4" x14ac:dyDescent="0.35">
      <c r="D702" s="26"/>
    </row>
    <row r="703" spans="4:4" x14ac:dyDescent="0.35">
      <c r="D703" s="26"/>
    </row>
    <row r="704" spans="4:4" x14ac:dyDescent="0.35">
      <c r="D704" s="26"/>
    </row>
    <row r="705" spans="4:4" x14ac:dyDescent="0.35">
      <c r="D705" s="26"/>
    </row>
    <row r="706" spans="4:4" x14ac:dyDescent="0.35">
      <c r="D706" s="26"/>
    </row>
    <row r="707" spans="4:4" x14ac:dyDescent="0.35">
      <c r="D707" s="26"/>
    </row>
    <row r="708" spans="4:4" x14ac:dyDescent="0.35">
      <c r="D708" s="26"/>
    </row>
    <row r="709" spans="4:4" x14ac:dyDescent="0.35">
      <c r="D709" s="26"/>
    </row>
    <row r="710" spans="4:4" x14ac:dyDescent="0.35">
      <c r="D710" s="26"/>
    </row>
    <row r="711" spans="4:4" x14ac:dyDescent="0.35">
      <c r="D711" s="26"/>
    </row>
    <row r="712" spans="4:4" x14ac:dyDescent="0.35">
      <c r="D712" s="26"/>
    </row>
    <row r="713" spans="4:4" x14ac:dyDescent="0.35">
      <c r="D713" s="26"/>
    </row>
    <row r="714" spans="4:4" x14ac:dyDescent="0.35">
      <c r="D714" s="26"/>
    </row>
    <row r="715" spans="4:4" x14ac:dyDescent="0.35">
      <c r="D715" s="26"/>
    </row>
    <row r="716" spans="4:4" x14ac:dyDescent="0.35">
      <c r="D716" s="26"/>
    </row>
    <row r="717" spans="4:4" x14ac:dyDescent="0.35">
      <c r="D717" s="26"/>
    </row>
    <row r="718" spans="4:4" x14ac:dyDescent="0.35">
      <c r="D718" s="26"/>
    </row>
    <row r="719" spans="4:4" x14ac:dyDescent="0.35">
      <c r="D719" s="26"/>
    </row>
    <row r="720" spans="4:4" x14ac:dyDescent="0.35">
      <c r="D720" s="26"/>
    </row>
    <row r="721" spans="4:4" x14ac:dyDescent="0.35">
      <c r="D721" s="26"/>
    </row>
    <row r="722" spans="4:4" x14ac:dyDescent="0.35">
      <c r="D722" s="26"/>
    </row>
    <row r="723" spans="4:4" x14ac:dyDescent="0.35">
      <c r="D723" s="26"/>
    </row>
    <row r="724" spans="4:4" x14ac:dyDescent="0.35">
      <c r="D724" s="26"/>
    </row>
    <row r="725" spans="4:4" x14ac:dyDescent="0.35">
      <c r="D725" s="26"/>
    </row>
    <row r="726" spans="4:4" x14ac:dyDescent="0.35">
      <c r="D726" s="26"/>
    </row>
    <row r="727" spans="4:4" x14ac:dyDescent="0.35">
      <c r="D727" s="26"/>
    </row>
    <row r="728" spans="4:4" x14ac:dyDescent="0.35">
      <c r="D728" s="26"/>
    </row>
    <row r="729" spans="4:4" x14ac:dyDescent="0.35">
      <c r="D729" s="26"/>
    </row>
    <row r="730" spans="4:4" x14ac:dyDescent="0.35">
      <c r="D730" s="26"/>
    </row>
    <row r="731" spans="4:4" x14ac:dyDescent="0.35">
      <c r="D731" s="26"/>
    </row>
    <row r="732" spans="4:4" x14ac:dyDescent="0.35">
      <c r="D732" s="26"/>
    </row>
    <row r="733" spans="4:4" x14ac:dyDescent="0.35">
      <c r="D733" s="26"/>
    </row>
    <row r="734" spans="4:4" x14ac:dyDescent="0.35">
      <c r="D734" s="26"/>
    </row>
    <row r="735" spans="4:4" x14ac:dyDescent="0.35">
      <c r="D735" s="26"/>
    </row>
    <row r="736" spans="4:4" x14ac:dyDescent="0.35">
      <c r="D736" s="26"/>
    </row>
    <row r="737" spans="4:4" x14ac:dyDescent="0.35">
      <c r="D737" s="26"/>
    </row>
    <row r="738" spans="4:4" x14ac:dyDescent="0.35">
      <c r="D738" s="26"/>
    </row>
    <row r="739" spans="4:4" x14ac:dyDescent="0.35">
      <c r="D739" s="26"/>
    </row>
    <row r="740" spans="4:4" x14ac:dyDescent="0.35">
      <c r="D740" s="26"/>
    </row>
    <row r="741" spans="4:4" x14ac:dyDescent="0.35">
      <c r="D741" s="26"/>
    </row>
    <row r="742" spans="4:4" x14ac:dyDescent="0.35">
      <c r="D742" s="26"/>
    </row>
    <row r="743" spans="4:4" x14ac:dyDescent="0.35">
      <c r="D743" s="26"/>
    </row>
    <row r="744" spans="4:4" x14ac:dyDescent="0.35">
      <c r="D744" s="26"/>
    </row>
    <row r="745" spans="4:4" x14ac:dyDescent="0.35">
      <c r="D745" s="26"/>
    </row>
    <row r="746" spans="4:4" x14ac:dyDescent="0.35">
      <c r="D746" s="26"/>
    </row>
    <row r="747" spans="4:4" x14ac:dyDescent="0.35">
      <c r="D747" s="26"/>
    </row>
    <row r="748" spans="4:4" x14ac:dyDescent="0.35">
      <c r="D748" s="26"/>
    </row>
    <row r="749" spans="4:4" x14ac:dyDescent="0.35">
      <c r="D749" s="26"/>
    </row>
    <row r="750" spans="4:4" x14ac:dyDescent="0.35">
      <c r="D750" s="26"/>
    </row>
    <row r="751" spans="4:4" x14ac:dyDescent="0.35">
      <c r="D751" s="26"/>
    </row>
    <row r="752" spans="4:4" x14ac:dyDescent="0.35">
      <c r="D752" s="26"/>
    </row>
    <row r="753" spans="4:4" x14ac:dyDescent="0.35">
      <c r="D753" s="26"/>
    </row>
    <row r="754" spans="4:4" x14ac:dyDescent="0.35">
      <c r="D754" s="26"/>
    </row>
    <row r="755" spans="4:4" x14ac:dyDescent="0.35">
      <c r="D755" s="26"/>
    </row>
    <row r="756" spans="4:4" x14ac:dyDescent="0.35">
      <c r="D756" s="26"/>
    </row>
    <row r="757" spans="4:4" x14ac:dyDescent="0.35">
      <c r="D757" s="26"/>
    </row>
    <row r="758" spans="4:4" x14ac:dyDescent="0.35">
      <c r="D758" s="26"/>
    </row>
    <row r="759" spans="4:4" x14ac:dyDescent="0.35">
      <c r="D759" s="26"/>
    </row>
    <row r="760" spans="4:4" x14ac:dyDescent="0.35">
      <c r="D760" s="26"/>
    </row>
    <row r="761" spans="4:4" x14ac:dyDescent="0.35">
      <c r="D761" s="26"/>
    </row>
    <row r="762" spans="4:4" x14ac:dyDescent="0.35">
      <c r="D762" s="26"/>
    </row>
    <row r="763" spans="4:4" x14ac:dyDescent="0.35">
      <c r="D763" s="26"/>
    </row>
    <row r="764" spans="4:4" x14ac:dyDescent="0.35">
      <c r="D764" s="26"/>
    </row>
    <row r="765" spans="4:4" x14ac:dyDescent="0.35">
      <c r="D765" s="26"/>
    </row>
    <row r="766" spans="4:4" x14ac:dyDescent="0.35">
      <c r="D766" s="26"/>
    </row>
    <row r="767" spans="4:4" x14ac:dyDescent="0.35">
      <c r="D767" s="26"/>
    </row>
    <row r="768" spans="4:4" x14ac:dyDescent="0.35">
      <c r="D768" s="26"/>
    </row>
    <row r="769" spans="4:4" x14ac:dyDescent="0.35">
      <c r="D769" s="26"/>
    </row>
    <row r="770" spans="4:4" x14ac:dyDescent="0.35">
      <c r="D770" s="26"/>
    </row>
    <row r="771" spans="4:4" x14ac:dyDescent="0.35">
      <c r="D771" s="26"/>
    </row>
    <row r="772" spans="4:4" x14ac:dyDescent="0.35">
      <c r="D772" s="26"/>
    </row>
    <row r="773" spans="4:4" x14ac:dyDescent="0.35">
      <c r="D773" s="26"/>
    </row>
    <row r="774" spans="4:4" x14ac:dyDescent="0.35">
      <c r="D774" s="26"/>
    </row>
    <row r="775" spans="4:4" x14ac:dyDescent="0.35">
      <c r="D775" s="26"/>
    </row>
    <row r="776" spans="4:4" x14ac:dyDescent="0.35">
      <c r="D776" s="26"/>
    </row>
    <row r="777" spans="4:4" x14ac:dyDescent="0.35">
      <c r="D777" s="26"/>
    </row>
    <row r="778" spans="4:4" x14ac:dyDescent="0.35">
      <c r="D778" s="26"/>
    </row>
    <row r="779" spans="4:4" x14ac:dyDescent="0.35">
      <c r="D779" s="26"/>
    </row>
    <row r="780" spans="4:4" x14ac:dyDescent="0.35">
      <c r="D780" s="26"/>
    </row>
    <row r="781" spans="4:4" x14ac:dyDescent="0.35">
      <c r="D781" s="26"/>
    </row>
    <row r="782" spans="4:4" x14ac:dyDescent="0.35">
      <c r="D782" s="26"/>
    </row>
    <row r="783" spans="4:4" x14ac:dyDescent="0.35">
      <c r="D783" s="26"/>
    </row>
    <row r="784" spans="4:4" x14ac:dyDescent="0.35">
      <c r="D784" s="26"/>
    </row>
    <row r="785" spans="4:4" x14ac:dyDescent="0.35">
      <c r="D785" s="26"/>
    </row>
    <row r="786" spans="4:4" x14ac:dyDescent="0.35">
      <c r="D786" s="26"/>
    </row>
    <row r="787" spans="4:4" x14ac:dyDescent="0.35">
      <c r="D787" s="26"/>
    </row>
    <row r="788" spans="4:4" x14ac:dyDescent="0.35">
      <c r="D788" s="26"/>
    </row>
    <row r="789" spans="4:4" x14ac:dyDescent="0.35">
      <c r="D789" s="26"/>
    </row>
    <row r="790" spans="4:4" x14ac:dyDescent="0.35">
      <c r="D790" s="26"/>
    </row>
    <row r="791" spans="4:4" x14ac:dyDescent="0.35">
      <c r="D791" s="26"/>
    </row>
    <row r="792" spans="4:4" x14ac:dyDescent="0.35">
      <c r="D792" s="26"/>
    </row>
    <row r="793" spans="4:4" x14ac:dyDescent="0.35">
      <c r="D793" s="26"/>
    </row>
    <row r="794" spans="4:4" x14ac:dyDescent="0.35">
      <c r="D794" s="26"/>
    </row>
    <row r="795" spans="4:4" x14ac:dyDescent="0.35">
      <c r="D795" s="26"/>
    </row>
    <row r="796" spans="4:4" x14ac:dyDescent="0.35">
      <c r="D796" s="26"/>
    </row>
    <row r="797" spans="4:4" x14ac:dyDescent="0.35">
      <c r="D797" s="26"/>
    </row>
    <row r="798" spans="4:4" x14ac:dyDescent="0.35">
      <c r="D798" s="26"/>
    </row>
    <row r="799" spans="4:4" x14ac:dyDescent="0.35">
      <c r="D799" s="26"/>
    </row>
    <row r="800" spans="4:4" x14ac:dyDescent="0.35">
      <c r="D800" s="26"/>
    </row>
    <row r="801" spans="4:4" x14ac:dyDescent="0.35">
      <c r="D801" s="26"/>
    </row>
    <row r="802" spans="4:4" x14ac:dyDescent="0.35">
      <c r="D802" s="26"/>
    </row>
    <row r="803" spans="4:4" x14ac:dyDescent="0.35">
      <c r="D803" s="26"/>
    </row>
    <row r="804" spans="4:4" x14ac:dyDescent="0.35">
      <c r="D804" s="26"/>
    </row>
    <row r="805" spans="4:4" x14ac:dyDescent="0.35">
      <c r="D805" s="26"/>
    </row>
    <row r="806" spans="4:4" x14ac:dyDescent="0.35">
      <c r="D806" s="26"/>
    </row>
    <row r="807" spans="4:4" x14ac:dyDescent="0.35">
      <c r="D807" s="26"/>
    </row>
    <row r="808" spans="4:4" x14ac:dyDescent="0.35">
      <c r="D808" s="26"/>
    </row>
    <row r="809" spans="4:4" x14ac:dyDescent="0.35">
      <c r="D809" s="26"/>
    </row>
    <row r="810" spans="4:4" x14ac:dyDescent="0.35">
      <c r="D810" s="26"/>
    </row>
    <row r="811" spans="4:4" x14ac:dyDescent="0.35">
      <c r="D811" s="26"/>
    </row>
    <row r="812" spans="4:4" x14ac:dyDescent="0.35">
      <c r="D812" s="26"/>
    </row>
    <row r="813" spans="4:4" x14ac:dyDescent="0.35">
      <c r="D813" s="26"/>
    </row>
    <row r="814" spans="4:4" x14ac:dyDescent="0.35">
      <c r="D814" s="26"/>
    </row>
    <row r="815" spans="4:4" x14ac:dyDescent="0.35">
      <c r="D815" s="26"/>
    </row>
    <row r="816" spans="4:4" x14ac:dyDescent="0.35">
      <c r="D816" s="26"/>
    </row>
    <row r="817" spans="4:4" x14ac:dyDescent="0.35">
      <c r="D817" s="26"/>
    </row>
    <row r="818" spans="4:4" x14ac:dyDescent="0.35">
      <c r="D818" s="26"/>
    </row>
    <row r="819" spans="4:4" x14ac:dyDescent="0.35">
      <c r="D819" s="26"/>
    </row>
    <row r="820" spans="4:4" x14ac:dyDescent="0.35">
      <c r="D820" s="26"/>
    </row>
    <row r="821" spans="4:4" x14ac:dyDescent="0.35">
      <c r="D821" s="26"/>
    </row>
    <row r="822" spans="4:4" x14ac:dyDescent="0.35">
      <c r="D822" s="26"/>
    </row>
    <row r="823" spans="4:4" x14ac:dyDescent="0.35">
      <c r="D823" s="26"/>
    </row>
    <row r="824" spans="4:4" x14ac:dyDescent="0.35">
      <c r="D824" s="26"/>
    </row>
    <row r="825" spans="4:4" x14ac:dyDescent="0.35">
      <c r="D825" s="26"/>
    </row>
    <row r="826" spans="4:4" x14ac:dyDescent="0.35">
      <c r="D826" s="26"/>
    </row>
    <row r="827" spans="4:4" x14ac:dyDescent="0.35">
      <c r="D827" s="26"/>
    </row>
    <row r="828" spans="4:4" x14ac:dyDescent="0.35">
      <c r="D828" s="26"/>
    </row>
    <row r="829" spans="4:4" x14ac:dyDescent="0.35">
      <c r="D829" s="26"/>
    </row>
    <row r="830" spans="4:4" x14ac:dyDescent="0.35">
      <c r="D830" s="26"/>
    </row>
    <row r="831" spans="4:4" x14ac:dyDescent="0.35">
      <c r="D831" s="26"/>
    </row>
    <row r="832" spans="4:4" x14ac:dyDescent="0.35">
      <c r="D832" s="26"/>
    </row>
    <row r="833" spans="4:4" x14ac:dyDescent="0.35">
      <c r="D833" s="26"/>
    </row>
    <row r="834" spans="4:4" x14ac:dyDescent="0.35">
      <c r="D834" s="26"/>
    </row>
    <row r="835" spans="4:4" x14ac:dyDescent="0.35">
      <c r="D835" s="26"/>
    </row>
    <row r="836" spans="4:4" x14ac:dyDescent="0.35">
      <c r="D836" s="26"/>
    </row>
    <row r="837" spans="4:4" x14ac:dyDescent="0.35">
      <c r="D837" s="26"/>
    </row>
    <row r="838" spans="4:4" x14ac:dyDescent="0.35">
      <c r="D838" s="26"/>
    </row>
    <row r="839" spans="4:4" x14ac:dyDescent="0.35">
      <c r="D839" s="26"/>
    </row>
    <row r="840" spans="4:4" x14ac:dyDescent="0.35">
      <c r="D840" s="26"/>
    </row>
    <row r="841" spans="4:4" x14ac:dyDescent="0.35">
      <c r="D841" s="26"/>
    </row>
    <row r="842" spans="4:4" x14ac:dyDescent="0.35">
      <c r="D842" s="26"/>
    </row>
    <row r="843" spans="4:4" x14ac:dyDescent="0.35">
      <c r="D843" s="26"/>
    </row>
    <row r="844" spans="4:4" x14ac:dyDescent="0.35">
      <c r="D844" s="26"/>
    </row>
    <row r="845" spans="4:4" x14ac:dyDescent="0.35">
      <c r="D845" s="26"/>
    </row>
    <row r="846" spans="4:4" x14ac:dyDescent="0.35">
      <c r="D846" s="26"/>
    </row>
    <row r="847" spans="4:4" x14ac:dyDescent="0.35">
      <c r="D847" s="26"/>
    </row>
    <row r="848" spans="4:4" x14ac:dyDescent="0.35">
      <c r="D848" s="26"/>
    </row>
    <row r="849" spans="4:4" x14ac:dyDescent="0.35">
      <c r="D849" s="26"/>
    </row>
    <row r="850" spans="4:4" x14ac:dyDescent="0.35">
      <c r="D850" s="26"/>
    </row>
    <row r="851" spans="4:4" x14ac:dyDescent="0.35">
      <c r="D851" s="26"/>
    </row>
    <row r="852" spans="4:4" x14ac:dyDescent="0.35">
      <c r="D852" s="26"/>
    </row>
    <row r="853" spans="4:4" x14ac:dyDescent="0.35">
      <c r="D853" s="26"/>
    </row>
    <row r="854" spans="4:4" x14ac:dyDescent="0.35">
      <c r="D854" s="26"/>
    </row>
    <row r="855" spans="4:4" x14ac:dyDescent="0.35">
      <c r="D855" s="26"/>
    </row>
    <row r="856" spans="4:4" x14ac:dyDescent="0.35">
      <c r="D856" s="26"/>
    </row>
    <row r="857" spans="4:4" x14ac:dyDescent="0.35">
      <c r="D857" s="26"/>
    </row>
    <row r="858" spans="4:4" x14ac:dyDescent="0.35">
      <c r="D858" s="26"/>
    </row>
    <row r="859" spans="4:4" x14ac:dyDescent="0.35">
      <c r="D859" s="26"/>
    </row>
    <row r="860" spans="4:4" x14ac:dyDescent="0.35">
      <c r="D860" s="26"/>
    </row>
    <row r="861" spans="4:4" x14ac:dyDescent="0.35">
      <c r="D861" s="26"/>
    </row>
    <row r="862" spans="4:4" x14ac:dyDescent="0.35">
      <c r="D862" s="26"/>
    </row>
    <row r="863" spans="4:4" x14ac:dyDescent="0.35">
      <c r="D863" s="26"/>
    </row>
    <row r="864" spans="4:4" x14ac:dyDescent="0.35">
      <c r="D864" s="26"/>
    </row>
    <row r="865" spans="4:4" x14ac:dyDescent="0.35">
      <c r="D865" s="26"/>
    </row>
    <row r="866" spans="4:4" x14ac:dyDescent="0.35">
      <c r="D866" s="26"/>
    </row>
    <row r="867" spans="4:4" x14ac:dyDescent="0.35">
      <c r="D867" s="26"/>
    </row>
    <row r="868" spans="4:4" x14ac:dyDescent="0.35">
      <c r="D868" s="26"/>
    </row>
    <row r="869" spans="4:4" x14ac:dyDescent="0.35">
      <c r="D869" s="26"/>
    </row>
    <row r="870" spans="4:4" x14ac:dyDescent="0.35">
      <c r="D870" s="26"/>
    </row>
    <row r="871" spans="4:4" x14ac:dyDescent="0.35">
      <c r="D871" s="26"/>
    </row>
    <row r="872" spans="4:4" x14ac:dyDescent="0.35">
      <c r="D872" s="26"/>
    </row>
    <row r="873" spans="4:4" x14ac:dyDescent="0.35">
      <c r="D873" s="26"/>
    </row>
    <row r="874" spans="4:4" x14ac:dyDescent="0.35">
      <c r="D874" s="26"/>
    </row>
    <row r="875" spans="4:4" x14ac:dyDescent="0.35">
      <c r="D875" s="26"/>
    </row>
    <row r="876" spans="4:4" x14ac:dyDescent="0.35">
      <c r="D876" s="26"/>
    </row>
    <row r="877" spans="4:4" x14ac:dyDescent="0.35">
      <c r="D877" s="26"/>
    </row>
    <row r="878" spans="4:4" x14ac:dyDescent="0.35">
      <c r="D878" s="26"/>
    </row>
    <row r="879" spans="4:4" x14ac:dyDescent="0.35">
      <c r="D879" s="26"/>
    </row>
    <row r="880" spans="4:4" x14ac:dyDescent="0.35">
      <c r="D880" s="26"/>
    </row>
    <row r="881" spans="4:4" x14ac:dyDescent="0.35">
      <c r="D881" s="26"/>
    </row>
    <row r="882" spans="4:4" x14ac:dyDescent="0.35">
      <c r="D882" s="26"/>
    </row>
    <row r="883" spans="4:4" x14ac:dyDescent="0.35">
      <c r="D883" s="26"/>
    </row>
    <row r="884" spans="4:4" x14ac:dyDescent="0.35">
      <c r="D884" s="26"/>
    </row>
    <row r="885" spans="4:4" x14ac:dyDescent="0.35">
      <c r="D885" s="26"/>
    </row>
    <row r="886" spans="4:4" x14ac:dyDescent="0.35">
      <c r="D886" s="26"/>
    </row>
    <row r="887" spans="4:4" x14ac:dyDescent="0.35">
      <c r="D887" s="26"/>
    </row>
    <row r="888" spans="4:4" x14ac:dyDescent="0.35">
      <c r="D888" s="26"/>
    </row>
    <row r="889" spans="4:4" x14ac:dyDescent="0.35">
      <c r="D889" s="26"/>
    </row>
    <row r="890" spans="4:4" x14ac:dyDescent="0.35">
      <c r="D890" s="26"/>
    </row>
    <row r="891" spans="4:4" x14ac:dyDescent="0.35">
      <c r="D891" s="26"/>
    </row>
    <row r="892" spans="4:4" x14ac:dyDescent="0.35">
      <c r="D892" s="26"/>
    </row>
    <row r="893" spans="4:4" x14ac:dyDescent="0.35">
      <c r="D893" s="26"/>
    </row>
    <row r="894" spans="4:4" x14ac:dyDescent="0.35">
      <c r="D894" s="26"/>
    </row>
    <row r="895" spans="4:4" x14ac:dyDescent="0.35">
      <c r="D895" s="26"/>
    </row>
    <row r="896" spans="4:4" x14ac:dyDescent="0.35">
      <c r="D896" s="26"/>
    </row>
    <row r="897" spans="4:4" x14ac:dyDescent="0.35">
      <c r="D897" s="26"/>
    </row>
    <row r="898" spans="4:4" x14ac:dyDescent="0.35">
      <c r="D898" s="26"/>
    </row>
    <row r="899" spans="4:4" x14ac:dyDescent="0.35">
      <c r="D899" s="26"/>
    </row>
    <row r="900" spans="4:4" x14ac:dyDescent="0.35">
      <c r="D900" s="26"/>
    </row>
    <row r="901" spans="4:4" x14ac:dyDescent="0.35">
      <c r="D901" s="26"/>
    </row>
    <row r="902" spans="4:4" x14ac:dyDescent="0.35">
      <c r="D902" s="26"/>
    </row>
    <row r="903" spans="4:4" x14ac:dyDescent="0.35">
      <c r="D903" s="26"/>
    </row>
    <row r="904" spans="4:4" x14ac:dyDescent="0.35">
      <c r="D904" s="26"/>
    </row>
    <row r="905" spans="4:4" x14ac:dyDescent="0.35">
      <c r="D905" s="26"/>
    </row>
    <row r="906" spans="4:4" x14ac:dyDescent="0.35">
      <c r="D906" s="26"/>
    </row>
    <row r="907" spans="4:4" x14ac:dyDescent="0.35">
      <c r="D907" s="26"/>
    </row>
    <row r="908" spans="4:4" x14ac:dyDescent="0.35">
      <c r="D908" s="26"/>
    </row>
    <row r="909" spans="4:4" x14ac:dyDescent="0.35">
      <c r="D909" s="26"/>
    </row>
    <row r="910" spans="4:4" x14ac:dyDescent="0.35">
      <c r="D910" s="26"/>
    </row>
    <row r="911" spans="4:4" x14ac:dyDescent="0.35">
      <c r="D911" s="26"/>
    </row>
    <row r="912" spans="4:4" x14ac:dyDescent="0.35">
      <c r="D912" s="26"/>
    </row>
    <row r="913" spans="4:4" x14ac:dyDescent="0.35">
      <c r="D913" s="26"/>
    </row>
    <row r="914" spans="4:4" x14ac:dyDescent="0.35">
      <c r="D914" s="26"/>
    </row>
    <row r="915" spans="4:4" x14ac:dyDescent="0.35">
      <c r="D915" s="26"/>
    </row>
    <row r="916" spans="4:4" x14ac:dyDescent="0.35">
      <c r="D916" s="26"/>
    </row>
    <row r="917" spans="4:4" x14ac:dyDescent="0.35">
      <c r="D917" s="26"/>
    </row>
    <row r="918" spans="4:4" x14ac:dyDescent="0.35">
      <c r="D918" s="26"/>
    </row>
    <row r="919" spans="4:4" x14ac:dyDescent="0.35">
      <c r="D919" s="26"/>
    </row>
    <row r="920" spans="4:4" x14ac:dyDescent="0.35">
      <c r="D920" s="26"/>
    </row>
    <row r="921" spans="4:4" x14ac:dyDescent="0.35">
      <c r="D921" s="26"/>
    </row>
    <row r="922" spans="4:4" x14ac:dyDescent="0.35">
      <c r="D922" s="26"/>
    </row>
    <row r="923" spans="4:4" x14ac:dyDescent="0.35">
      <c r="D923" s="26"/>
    </row>
    <row r="924" spans="4:4" x14ac:dyDescent="0.35">
      <c r="D924" s="26"/>
    </row>
    <row r="925" spans="4:4" x14ac:dyDescent="0.35">
      <c r="D925" s="26"/>
    </row>
    <row r="926" spans="4:4" x14ac:dyDescent="0.35">
      <c r="D926" s="26"/>
    </row>
    <row r="927" spans="4:4" x14ac:dyDescent="0.35">
      <c r="D927" s="26"/>
    </row>
    <row r="928" spans="4:4" x14ac:dyDescent="0.35">
      <c r="D928" s="26"/>
    </row>
    <row r="929" spans="4:4" x14ac:dyDescent="0.35">
      <c r="D929" s="26"/>
    </row>
    <row r="930" spans="4:4" x14ac:dyDescent="0.35">
      <c r="D930" s="26"/>
    </row>
    <row r="931" spans="4:4" x14ac:dyDescent="0.35">
      <c r="D931" s="26"/>
    </row>
    <row r="932" spans="4:4" x14ac:dyDescent="0.35">
      <c r="D932" s="26"/>
    </row>
    <row r="933" spans="4:4" x14ac:dyDescent="0.35">
      <c r="D933" s="26"/>
    </row>
    <row r="934" spans="4:4" x14ac:dyDescent="0.35">
      <c r="D934" s="26"/>
    </row>
    <row r="935" spans="4:4" x14ac:dyDescent="0.35">
      <c r="D935" s="26"/>
    </row>
    <row r="936" spans="4:4" x14ac:dyDescent="0.35">
      <c r="D936" s="26"/>
    </row>
    <row r="937" spans="4:4" x14ac:dyDescent="0.35">
      <c r="D937" s="26"/>
    </row>
    <row r="938" spans="4:4" x14ac:dyDescent="0.35">
      <c r="D938" s="26"/>
    </row>
    <row r="939" spans="4:4" x14ac:dyDescent="0.35">
      <c r="D939" s="26"/>
    </row>
    <row r="940" spans="4:4" x14ac:dyDescent="0.35">
      <c r="D940" s="26"/>
    </row>
    <row r="941" spans="4:4" x14ac:dyDescent="0.35">
      <c r="D941" s="26"/>
    </row>
    <row r="942" spans="4:4" x14ac:dyDescent="0.35">
      <c r="D942" s="26"/>
    </row>
    <row r="943" spans="4:4" x14ac:dyDescent="0.35">
      <c r="D943" s="26"/>
    </row>
    <row r="944" spans="4:4" x14ac:dyDescent="0.35">
      <c r="D944" s="26"/>
    </row>
    <row r="945" spans="4:4" x14ac:dyDescent="0.35">
      <c r="D945" s="26"/>
    </row>
    <row r="946" spans="4:4" x14ac:dyDescent="0.35">
      <c r="D946" s="26"/>
    </row>
    <row r="947" spans="4:4" x14ac:dyDescent="0.35">
      <c r="D947" s="26"/>
    </row>
    <row r="948" spans="4:4" x14ac:dyDescent="0.35">
      <c r="D948" s="26"/>
    </row>
    <row r="949" spans="4:4" x14ac:dyDescent="0.35">
      <c r="D949" s="26"/>
    </row>
    <row r="950" spans="4:4" x14ac:dyDescent="0.35">
      <c r="D950" s="26"/>
    </row>
    <row r="951" spans="4:4" x14ac:dyDescent="0.35">
      <c r="D951" s="26"/>
    </row>
    <row r="952" spans="4:4" x14ac:dyDescent="0.35">
      <c r="D952" s="26"/>
    </row>
    <row r="953" spans="4:4" x14ac:dyDescent="0.35">
      <c r="D953" s="26"/>
    </row>
    <row r="954" spans="4:4" x14ac:dyDescent="0.35">
      <c r="D954" s="26"/>
    </row>
    <row r="955" spans="4:4" x14ac:dyDescent="0.35">
      <c r="D955" s="26"/>
    </row>
    <row r="956" spans="4:4" x14ac:dyDescent="0.35">
      <c r="D956" s="26"/>
    </row>
    <row r="957" spans="4:4" x14ac:dyDescent="0.35">
      <c r="D957" s="26"/>
    </row>
    <row r="958" spans="4:4" x14ac:dyDescent="0.35">
      <c r="D958" s="26"/>
    </row>
    <row r="959" spans="4:4" x14ac:dyDescent="0.35">
      <c r="D959" s="26"/>
    </row>
    <row r="960" spans="4:4" x14ac:dyDescent="0.35">
      <c r="D960" s="26"/>
    </row>
    <row r="961" spans="4:4" x14ac:dyDescent="0.35">
      <c r="D961" s="26"/>
    </row>
    <row r="962" spans="4:4" x14ac:dyDescent="0.35">
      <c r="D962" s="26"/>
    </row>
    <row r="963" spans="4:4" x14ac:dyDescent="0.35">
      <c r="D963" s="26"/>
    </row>
    <row r="964" spans="4:4" x14ac:dyDescent="0.35">
      <c r="D964" s="26"/>
    </row>
    <row r="965" spans="4:4" x14ac:dyDescent="0.35">
      <c r="D965" s="26"/>
    </row>
    <row r="966" spans="4:4" x14ac:dyDescent="0.35">
      <c r="D966" s="26"/>
    </row>
    <row r="967" spans="4:4" x14ac:dyDescent="0.35">
      <c r="D967" s="26"/>
    </row>
    <row r="968" spans="4:4" x14ac:dyDescent="0.35">
      <c r="D968" s="26"/>
    </row>
    <row r="969" spans="4:4" x14ac:dyDescent="0.35">
      <c r="D969" s="26"/>
    </row>
    <row r="970" spans="4:4" x14ac:dyDescent="0.35">
      <c r="D970" s="26"/>
    </row>
    <row r="971" spans="4:4" x14ac:dyDescent="0.35">
      <c r="D971" s="26"/>
    </row>
    <row r="972" spans="4:4" x14ac:dyDescent="0.35">
      <c r="D972" s="26"/>
    </row>
    <row r="973" spans="4:4" x14ac:dyDescent="0.35">
      <c r="D973" s="26"/>
    </row>
    <row r="974" spans="4:4" x14ac:dyDescent="0.35">
      <c r="D974" s="26"/>
    </row>
    <row r="975" spans="4:4" x14ac:dyDescent="0.35">
      <c r="D975" s="26"/>
    </row>
    <row r="976" spans="4:4" x14ac:dyDescent="0.35">
      <c r="D976" s="26"/>
    </row>
    <row r="977" spans="4:4" x14ac:dyDescent="0.35">
      <c r="D977" s="26"/>
    </row>
    <row r="978" spans="4:4" x14ac:dyDescent="0.35">
      <c r="D978" s="26"/>
    </row>
    <row r="979" spans="4:4" x14ac:dyDescent="0.35">
      <c r="D979" s="26"/>
    </row>
    <row r="980" spans="4:4" x14ac:dyDescent="0.35">
      <c r="D980" s="26"/>
    </row>
    <row r="981" spans="4:4" x14ac:dyDescent="0.35">
      <c r="D981" s="26"/>
    </row>
    <row r="982" spans="4:4" x14ac:dyDescent="0.35">
      <c r="D982" s="26"/>
    </row>
    <row r="983" spans="4:4" x14ac:dyDescent="0.35">
      <c r="D983" s="26"/>
    </row>
    <row r="984" spans="4:4" x14ac:dyDescent="0.35">
      <c r="D984" s="26"/>
    </row>
    <row r="985" spans="4:4" x14ac:dyDescent="0.35">
      <c r="D985" s="26"/>
    </row>
    <row r="986" spans="4:4" x14ac:dyDescent="0.35">
      <c r="D986" s="26"/>
    </row>
    <row r="987" spans="4:4" x14ac:dyDescent="0.35">
      <c r="D987" s="26"/>
    </row>
    <row r="988" spans="4:4" x14ac:dyDescent="0.35">
      <c r="D988" s="26"/>
    </row>
    <row r="989" spans="4:4" x14ac:dyDescent="0.35">
      <c r="D989" s="26"/>
    </row>
    <row r="990" spans="4:4" x14ac:dyDescent="0.35">
      <c r="D990" s="26"/>
    </row>
    <row r="991" spans="4:4" x14ac:dyDescent="0.35">
      <c r="D991" s="26"/>
    </row>
    <row r="992" spans="4:4" x14ac:dyDescent="0.35">
      <c r="D992" s="26"/>
    </row>
    <row r="993" spans="4:4" x14ac:dyDescent="0.35">
      <c r="D993" s="26"/>
    </row>
    <row r="994" spans="4:4" x14ac:dyDescent="0.35">
      <c r="D994" s="26"/>
    </row>
    <row r="995" spans="4:4" x14ac:dyDescent="0.35">
      <c r="D995" s="26"/>
    </row>
    <row r="996" spans="4:4" x14ac:dyDescent="0.35">
      <c r="D996" s="26"/>
    </row>
    <row r="997" spans="4:4" x14ac:dyDescent="0.35">
      <c r="D997" s="26"/>
    </row>
    <row r="998" spans="4:4" x14ac:dyDescent="0.35">
      <c r="D998" s="26"/>
    </row>
    <row r="999" spans="4:4" x14ac:dyDescent="0.35">
      <c r="D999" s="26"/>
    </row>
    <row r="1000" spans="4:4" x14ac:dyDescent="0.35">
      <c r="D1000" s="26"/>
    </row>
    <row r="1001" spans="4:4" x14ac:dyDescent="0.35">
      <c r="D1001" s="26"/>
    </row>
    <row r="1002" spans="4:4" x14ac:dyDescent="0.35">
      <c r="D1002" s="26"/>
    </row>
    <row r="1003" spans="4:4" x14ac:dyDescent="0.35">
      <c r="D1003" s="26"/>
    </row>
    <row r="1004" spans="4:4" x14ac:dyDescent="0.35">
      <c r="D1004" s="26"/>
    </row>
    <row r="1005" spans="4:4" x14ac:dyDescent="0.35">
      <c r="D1005" s="26"/>
    </row>
    <row r="1006" spans="4:4" x14ac:dyDescent="0.35">
      <c r="D1006" s="26"/>
    </row>
    <row r="1007" spans="4:4" x14ac:dyDescent="0.35">
      <c r="D1007" s="26"/>
    </row>
    <row r="1008" spans="4:4" x14ac:dyDescent="0.35">
      <c r="D1008" s="26"/>
    </row>
    <row r="1009" spans="4:4" x14ac:dyDescent="0.35">
      <c r="D1009" s="26"/>
    </row>
    <row r="1010" spans="4:4" x14ac:dyDescent="0.35">
      <c r="D1010" s="26"/>
    </row>
    <row r="1011" spans="4:4" x14ac:dyDescent="0.35">
      <c r="D1011" s="26"/>
    </row>
    <row r="1012" spans="4:4" x14ac:dyDescent="0.35">
      <c r="D1012" s="26"/>
    </row>
    <row r="1013" spans="4:4" x14ac:dyDescent="0.35">
      <c r="D1013" s="26"/>
    </row>
    <row r="1014" spans="4:4" x14ac:dyDescent="0.35">
      <c r="D1014" s="26"/>
    </row>
    <row r="1015" spans="4:4" x14ac:dyDescent="0.35">
      <c r="D1015" s="26"/>
    </row>
    <row r="1016" spans="4:4" x14ac:dyDescent="0.35">
      <c r="D1016" s="26"/>
    </row>
    <row r="1017" spans="4:4" x14ac:dyDescent="0.35">
      <c r="D1017" s="26"/>
    </row>
    <row r="1018" spans="4:4" x14ac:dyDescent="0.35">
      <c r="D1018" s="26"/>
    </row>
    <row r="1019" spans="4:4" x14ac:dyDescent="0.35">
      <c r="D1019" s="26"/>
    </row>
    <row r="1020" spans="4:4" x14ac:dyDescent="0.35">
      <c r="D1020" s="26"/>
    </row>
    <row r="1021" spans="4:4" x14ac:dyDescent="0.35">
      <c r="D1021" s="26"/>
    </row>
    <row r="1022" spans="4:4" x14ac:dyDescent="0.35">
      <c r="D1022" s="26"/>
    </row>
    <row r="1023" spans="4:4" x14ac:dyDescent="0.35">
      <c r="D1023" s="26"/>
    </row>
    <row r="1024" spans="4:4" x14ac:dyDescent="0.35">
      <c r="D1024" s="26"/>
    </row>
    <row r="1025" spans="4:4" x14ac:dyDescent="0.35">
      <c r="D1025" s="26"/>
    </row>
    <row r="1026" spans="4:4" x14ac:dyDescent="0.35">
      <c r="D1026" s="26"/>
    </row>
    <row r="1027" spans="4:4" x14ac:dyDescent="0.35">
      <c r="D1027" s="26"/>
    </row>
    <row r="1028" spans="4:4" x14ac:dyDescent="0.35">
      <c r="D1028" s="26"/>
    </row>
    <row r="1029" spans="4:4" x14ac:dyDescent="0.35">
      <c r="D1029" s="26"/>
    </row>
    <row r="1030" spans="4:4" x14ac:dyDescent="0.35">
      <c r="D1030" s="26"/>
    </row>
    <row r="1031" spans="4:4" x14ac:dyDescent="0.35">
      <c r="D1031" s="26"/>
    </row>
    <row r="1032" spans="4:4" x14ac:dyDescent="0.35">
      <c r="D1032" s="26"/>
    </row>
    <row r="1033" spans="4:4" x14ac:dyDescent="0.35">
      <c r="D1033" s="26"/>
    </row>
    <row r="1034" spans="4:4" x14ac:dyDescent="0.35">
      <c r="D1034" s="26"/>
    </row>
    <row r="1035" spans="4:4" x14ac:dyDescent="0.35">
      <c r="D1035" s="26"/>
    </row>
    <row r="1036" spans="4:4" x14ac:dyDescent="0.35">
      <c r="D1036" s="26"/>
    </row>
    <row r="1037" spans="4:4" x14ac:dyDescent="0.35">
      <c r="D1037" s="26"/>
    </row>
    <row r="1038" spans="4:4" x14ac:dyDescent="0.35">
      <c r="D1038" s="26"/>
    </row>
    <row r="1039" spans="4:4" x14ac:dyDescent="0.35">
      <c r="D1039" s="26"/>
    </row>
    <row r="1040" spans="4:4" x14ac:dyDescent="0.35">
      <c r="D1040" s="26"/>
    </row>
    <row r="1041" spans="4:4" x14ac:dyDescent="0.35">
      <c r="D1041" s="26"/>
    </row>
    <row r="1042" spans="4:4" x14ac:dyDescent="0.35">
      <c r="D1042" s="26"/>
    </row>
    <row r="1043" spans="4:4" x14ac:dyDescent="0.35">
      <c r="D1043" s="26"/>
    </row>
    <row r="1044" spans="4:4" x14ac:dyDescent="0.35">
      <c r="D1044" s="26"/>
    </row>
    <row r="1045" spans="4:4" x14ac:dyDescent="0.35">
      <c r="D1045" s="26"/>
    </row>
    <row r="1046" spans="4:4" x14ac:dyDescent="0.35">
      <c r="D1046" s="26"/>
    </row>
    <row r="1047" spans="4:4" x14ac:dyDescent="0.35">
      <c r="D1047" s="26"/>
    </row>
    <row r="1048" spans="4:4" x14ac:dyDescent="0.35">
      <c r="D1048" s="26"/>
    </row>
    <row r="1049" spans="4:4" x14ac:dyDescent="0.35">
      <c r="D1049" s="26"/>
    </row>
    <row r="1050" spans="4:4" x14ac:dyDescent="0.35">
      <c r="D1050" s="26"/>
    </row>
    <row r="1051" spans="4:4" x14ac:dyDescent="0.35">
      <c r="D1051" s="26"/>
    </row>
    <row r="1052" spans="4:4" x14ac:dyDescent="0.35">
      <c r="D1052" s="26"/>
    </row>
    <row r="1053" spans="4:4" x14ac:dyDescent="0.35">
      <c r="D1053" s="26"/>
    </row>
    <row r="1054" spans="4:4" x14ac:dyDescent="0.35">
      <c r="D1054" s="26"/>
    </row>
    <row r="1055" spans="4:4" x14ac:dyDescent="0.35">
      <c r="D1055" s="26"/>
    </row>
    <row r="1056" spans="4:4" x14ac:dyDescent="0.35">
      <c r="D1056" s="26"/>
    </row>
    <row r="1057" spans="4:4" x14ac:dyDescent="0.35">
      <c r="D1057" s="26"/>
    </row>
    <row r="1058" spans="4:4" x14ac:dyDescent="0.35">
      <c r="D1058" s="26"/>
    </row>
    <row r="1059" spans="4:4" x14ac:dyDescent="0.35">
      <c r="D1059" s="26"/>
    </row>
    <row r="1060" spans="4:4" x14ac:dyDescent="0.35">
      <c r="D1060" s="26"/>
    </row>
    <row r="1061" spans="4:4" x14ac:dyDescent="0.35">
      <c r="D1061" s="26"/>
    </row>
    <row r="1062" spans="4:4" x14ac:dyDescent="0.35">
      <c r="D1062" s="26"/>
    </row>
    <row r="1063" spans="4:4" x14ac:dyDescent="0.35">
      <c r="D1063" s="26"/>
    </row>
    <row r="1064" spans="4:4" x14ac:dyDescent="0.35">
      <c r="D1064" s="26"/>
    </row>
    <row r="1065" spans="4:4" x14ac:dyDescent="0.35">
      <c r="D1065" s="26"/>
    </row>
    <row r="1066" spans="4:4" x14ac:dyDescent="0.35">
      <c r="D1066" s="26"/>
    </row>
    <row r="1067" spans="4:4" x14ac:dyDescent="0.35">
      <c r="D1067" s="26"/>
    </row>
    <row r="1068" spans="4:4" x14ac:dyDescent="0.35">
      <c r="D1068" s="26"/>
    </row>
    <row r="1069" spans="4:4" x14ac:dyDescent="0.35">
      <c r="D1069" s="26"/>
    </row>
    <row r="1070" spans="4:4" x14ac:dyDescent="0.35">
      <c r="D1070" s="26"/>
    </row>
    <row r="1071" spans="4:4" x14ac:dyDescent="0.35">
      <c r="D1071" s="26"/>
    </row>
    <row r="1072" spans="4:4" x14ac:dyDescent="0.35">
      <c r="D1072" s="26"/>
    </row>
    <row r="1073" spans="4:4" x14ac:dyDescent="0.35">
      <c r="D1073" s="26"/>
    </row>
    <row r="1074" spans="4:4" x14ac:dyDescent="0.35">
      <c r="D1074" s="26"/>
    </row>
    <row r="1075" spans="4:4" x14ac:dyDescent="0.35">
      <c r="D1075" s="26"/>
    </row>
    <row r="1076" spans="4:4" x14ac:dyDescent="0.35">
      <c r="D1076" s="26"/>
    </row>
    <row r="1077" spans="4:4" x14ac:dyDescent="0.35">
      <c r="D1077" s="26"/>
    </row>
    <row r="1078" spans="4:4" x14ac:dyDescent="0.35">
      <c r="D1078" s="26"/>
    </row>
    <row r="1079" spans="4:4" x14ac:dyDescent="0.35">
      <c r="D1079" s="26"/>
    </row>
    <row r="1080" spans="4:4" x14ac:dyDescent="0.35">
      <c r="D1080" s="26"/>
    </row>
    <row r="1081" spans="4:4" x14ac:dyDescent="0.35">
      <c r="D1081" s="26"/>
    </row>
    <row r="1082" spans="4:4" x14ac:dyDescent="0.35">
      <c r="D1082" s="26"/>
    </row>
    <row r="1083" spans="4:4" x14ac:dyDescent="0.35">
      <c r="D1083" s="26"/>
    </row>
    <row r="1084" spans="4:4" x14ac:dyDescent="0.35">
      <c r="D1084" s="26"/>
    </row>
    <row r="1085" spans="4:4" x14ac:dyDescent="0.35">
      <c r="D1085" s="26"/>
    </row>
    <row r="1086" spans="4:4" x14ac:dyDescent="0.35">
      <c r="D1086" s="26"/>
    </row>
    <row r="1087" spans="4:4" x14ac:dyDescent="0.35">
      <c r="D1087" s="26"/>
    </row>
    <row r="1088" spans="4:4" x14ac:dyDescent="0.35">
      <c r="D1088" s="26"/>
    </row>
    <row r="1089" spans="4:4" x14ac:dyDescent="0.35">
      <c r="D1089" s="26"/>
    </row>
    <row r="1090" spans="4:4" x14ac:dyDescent="0.35">
      <c r="D1090" s="26"/>
    </row>
    <row r="1091" spans="4:4" x14ac:dyDescent="0.35">
      <c r="D1091" s="26"/>
    </row>
    <row r="1092" spans="4:4" x14ac:dyDescent="0.35">
      <c r="D1092" s="26"/>
    </row>
    <row r="1093" spans="4:4" x14ac:dyDescent="0.35">
      <c r="D1093" s="26"/>
    </row>
    <row r="1094" spans="4:4" x14ac:dyDescent="0.35">
      <c r="D1094" s="26"/>
    </row>
    <row r="1095" spans="4:4" x14ac:dyDescent="0.35">
      <c r="D1095" s="26"/>
    </row>
    <row r="1096" spans="4:4" x14ac:dyDescent="0.35">
      <c r="D1096" s="26"/>
    </row>
    <row r="1097" spans="4:4" x14ac:dyDescent="0.35">
      <c r="D1097" s="26"/>
    </row>
    <row r="1098" spans="4:4" x14ac:dyDescent="0.35">
      <c r="D1098" s="26"/>
    </row>
    <row r="1099" spans="4:4" x14ac:dyDescent="0.35">
      <c r="D1099" s="26"/>
    </row>
    <row r="1100" spans="4:4" x14ac:dyDescent="0.35">
      <c r="D1100" s="26"/>
    </row>
    <row r="1101" spans="4:4" x14ac:dyDescent="0.35">
      <c r="D1101" s="26"/>
    </row>
    <row r="1102" spans="4:4" x14ac:dyDescent="0.35">
      <c r="D1102" s="26"/>
    </row>
    <row r="1103" spans="4:4" x14ac:dyDescent="0.35">
      <c r="D1103" s="26"/>
    </row>
    <row r="1104" spans="4:4" x14ac:dyDescent="0.35">
      <c r="D1104" s="26"/>
    </row>
    <row r="1105" spans="4:4" x14ac:dyDescent="0.35">
      <c r="D1105" s="26"/>
    </row>
    <row r="1106" spans="4:4" x14ac:dyDescent="0.35">
      <c r="D1106" s="26"/>
    </row>
    <row r="1107" spans="4:4" x14ac:dyDescent="0.35">
      <c r="D1107" s="26"/>
    </row>
    <row r="1108" spans="4:4" x14ac:dyDescent="0.35">
      <c r="D1108" s="26"/>
    </row>
    <row r="1109" spans="4:4" x14ac:dyDescent="0.35">
      <c r="D1109" s="26"/>
    </row>
    <row r="1110" spans="4:4" x14ac:dyDescent="0.35">
      <c r="D1110" s="26"/>
    </row>
    <row r="1111" spans="4:4" x14ac:dyDescent="0.35">
      <c r="D1111" s="26"/>
    </row>
    <row r="1112" spans="4:4" x14ac:dyDescent="0.35">
      <c r="D1112" s="26"/>
    </row>
    <row r="1113" spans="4:4" x14ac:dyDescent="0.35">
      <c r="D1113" s="26"/>
    </row>
    <row r="1114" spans="4:4" x14ac:dyDescent="0.35">
      <c r="D1114" s="26"/>
    </row>
    <row r="1115" spans="4:4" x14ac:dyDescent="0.35">
      <c r="D1115" s="26"/>
    </row>
    <row r="1116" spans="4:4" x14ac:dyDescent="0.35">
      <c r="D1116" s="26"/>
    </row>
    <row r="1117" spans="4:4" x14ac:dyDescent="0.35">
      <c r="D1117" s="26"/>
    </row>
    <row r="1118" spans="4:4" x14ac:dyDescent="0.35">
      <c r="D1118" s="26"/>
    </row>
    <row r="1119" spans="4:4" x14ac:dyDescent="0.35">
      <c r="D1119" s="26"/>
    </row>
    <row r="1120" spans="4:4" x14ac:dyDescent="0.35">
      <c r="D1120" s="26"/>
    </row>
    <row r="1121" spans="4:4" x14ac:dyDescent="0.35">
      <c r="D1121" s="26"/>
    </row>
    <row r="1122" spans="4:4" x14ac:dyDescent="0.35">
      <c r="D1122" s="26"/>
    </row>
    <row r="1123" spans="4:4" x14ac:dyDescent="0.35">
      <c r="D1123" s="26"/>
    </row>
    <row r="1124" spans="4:4" x14ac:dyDescent="0.35">
      <c r="D1124" s="26"/>
    </row>
    <row r="1125" spans="4:4" x14ac:dyDescent="0.35">
      <c r="D1125" s="26"/>
    </row>
    <row r="1126" spans="4:4" x14ac:dyDescent="0.35">
      <c r="D1126" s="26"/>
    </row>
    <row r="1127" spans="4:4" x14ac:dyDescent="0.35">
      <c r="D1127" s="26"/>
    </row>
    <row r="1128" spans="4:4" x14ac:dyDescent="0.35">
      <c r="D1128" s="26"/>
    </row>
    <row r="1129" spans="4:4" x14ac:dyDescent="0.35">
      <c r="D1129" s="26"/>
    </row>
    <row r="1130" spans="4:4" x14ac:dyDescent="0.35">
      <c r="D1130" s="26"/>
    </row>
    <row r="1131" spans="4:4" x14ac:dyDescent="0.35">
      <c r="D1131" s="26"/>
    </row>
    <row r="1132" spans="4:4" x14ac:dyDescent="0.35">
      <c r="D1132" s="26"/>
    </row>
    <row r="1133" spans="4:4" x14ac:dyDescent="0.35">
      <c r="D1133" s="26"/>
    </row>
    <row r="1134" spans="4:4" x14ac:dyDescent="0.35">
      <c r="D1134" s="26"/>
    </row>
    <row r="1135" spans="4:4" x14ac:dyDescent="0.35">
      <c r="D1135" s="26"/>
    </row>
    <row r="1136" spans="4:4" x14ac:dyDescent="0.35">
      <c r="D1136" s="26"/>
    </row>
    <row r="1137" spans="4:4" x14ac:dyDescent="0.35">
      <c r="D1137" s="26"/>
    </row>
    <row r="1138" spans="4:4" x14ac:dyDescent="0.35">
      <c r="D1138" s="26"/>
    </row>
    <row r="1139" spans="4:4" x14ac:dyDescent="0.35">
      <c r="D1139" s="26"/>
    </row>
    <row r="1140" spans="4:4" x14ac:dyDescent="0.35">
      <c r="D1140" s="26"/>
    </row>
    <row r="1141" spans="4:4" x14ac:dyDescent="0.35">
      <c r="D1141" s="26"/>
    </row>
    <row r="1142" spans="4:4" x14ac:dyDescent="0.35">
      <c r="D1142" s="26"/>
    </row>
    <row r="1143" spans="4:4" x14ac:dyDescent="0.35">
      <c r="D1143" s="26"/>
    </row>
    <row r="1144" spans="4:4" x14ac:dyDescent="0.35">
      <c r="D1144" s="26"/>
    </row>
    <row r="1145" spans="4:4" x14ac:dyDescent="0.35">
      <c r="D1145" s="26"/>
    </row>
    <row r="1146" spans="4:4" x14ac:dyDescent="0.35">
      <c r="D1146" s="26"/>
    </row>
    <row r="1147" spans="4:4" x14ac:dyDescent="0.35">
      <c r="D1147" s="26"/>
    </row>
    <row r="1148" spans="4:4" x14ac:dyDescent="0.35">
      <c r="D1148" s="26"/>
    </row>
    <row r="1149" spans="4:4" x14ac:dyDescent="0.35">
      <c r="D1149" s="26"/>
    </row>
    <row r="1150" spans="4:4" x14ac:dyDescent="0.35">
      <c r="D1150" s="26"/>
    </row>
    <row r="1151" spans="4:4" x14ac:dyDescent="0.35">
      <c r="D1151" s="26"/>
    </row>
    <row r="1152" spans="4:4" x14ac:dyDescent="0.35">
      <c r="D1152" s="26"/>
    </row>
    <row r="1153" spans="4:4" x14ac:dyDescent="0.35">
      <c r="D1153" s="26"/>
    </row>
    <row r="1154" spans="4:4" x14ac:dyDescent="0.35">
      <c r="D1154" s="26"/>
    </row>
    <row r="1155" spans="4:4" x14ac:dyDescent="0.35">
      <c r="D1155" s="26"/>
    </row>
    <row r="1156" spans="4:4" x14ac:dyDescent="0.35">
      <c r="D1156" s="26"/>
    </row>
    <row r="1157" spans="4:4" x14ac:dyDescent="0.35">
      <c r="D1157" s="26"/>
    </row>
    <row r="1158" spans="4:4" x14ac:dyDescent="0.35">
      <c r="D1158" s="26"/>
    </row>
    <row r="1159" spans="4:4" x14ac:dyDescent="0.35">
      <c r="D1159" s="26"/>
    </row>
    <row r="1160" spans="4:4" x14ac:dyDescent="0.35">
      <c r="D1160" s="26"/>
    </row>
    <row r="1161" spans="4:4" x14ac:dyDescent="0.35">
      <c r="D1161" s="26"/>
    </row>
    <row r="1162" spans="4:4" x14ac:dyDescent="0.35">
      <c r="D1162" s="26"/>
    </row>
    <row r="1163" spans="4:4" x14ac:dyDescent="0.35">
      <c r="D1163" s="26"/>
    </row>
    <row r="1164" spans="4:4" x14ac:dyDescent="0.35">
      <c r="D1164" s="26"/>
    </row>
    <row r="1165" spans="4:4" x14ac:dyDescent="0.35">
      <c r="D1165" s="26"/>
    </row>
    <row r="1166" spans="4:4" x14ac:dyDescent="0.35">
      <c r="D1166" s="26"/>
    </row>
    <row r="1167" spans="4:4" x14ac:dyDescent="0.35">
      <c r="D1167" s="26"/>
    </row>
    <row r="1168" spans="4:4" x14ac:dyDescent="0.35">
      <c r="D1168" s="26"/>
    </row>
    <row r="1169" spans="4:4" x14ac:dyDescent="0.35">
      <c r="D1169" s="26"/>
    </row>
    <row r="1170" spans="4:4" x14ac:dyDescent="0.35">
      <c r="D1170" s="26"/>
    </row>
    <row r="1171" spans="4:4" x14ac:dyDescent="0.35">
      <c r="D1171" s="26"/>
    </row>
    <row r="1172" spans="4:4" x14ac:dyDescent="0.35">
      <c r="D1172" s="26"/>
    </row>
    <row r="1173" spans="4:4" x14ac:dyDescent="0.35">
      <c r="D1173" s="26"/>
    </row>
    <row r="1174" spans="4:4" x14ac:dyDescent="0.35">
      <c r="D1174" s="26"/>
    </row>
    <row r="1175" spans="4:4" x14ac:dyDescent="0.35">
      <c r="D1175" s="26"/>
    </row>
    <row r="1176" spans="4:4" x14ac:dyDescent="0.35">
      <c r="D1176" s="26"/>
    </row>
    <row r="1177" spans="4:4" x14ac:dyDescent="0.35">
      <c r="D1177" s="26"/>
    </row>
    <row r="1178" spans="4:4" x14ac:dyDescent="0.35">
      <c r="D1178" s="26"/>
    </row>
    <row r="1179" spans="4:4" x14ac:dyDescent="0.35">
      <c r="D1179" s="26"/>
    </row>
    <row r="1180" spans="4:4" x14ac:dyDescent="0.35">
      <c r="D1180" s="26"/>
    </row>
    <row r="1181" spans="4:4" x14ac:dyDescent="0.35">
      <c r="D1181" s="26"/>
    </row>
    <row r="1182" spans="4:4" x14ac:dyDescent="0.35">
      <c r="D1182" s="26"/>
    </row>
    <row r="1183" spans="4:4" x14ac:dyDescent="0.35">
      <c r="D1183" s="26"/>
    </row>
    <row r="1184" spans="4:4" x14ac:dyDescent="0.35">
      <c r="D1184" s="26"/>
    </row>
    <row r="1185" spans="4:4" x14ac:dyDescent="0.35">
      <c r="D1185" s="26"/>
    </row>
    <row r="1186" spans="4:4" x14ac:dyDescent="0.35">
      <c r="D1186" s="26"/>
    </row>
    <row r="1187" spans="4:4" x14ac:dyDescent="0.35">
      <c r="D1187" s="26"/>
    </row>
    <row r="1188" spans="4:4" x14ac:dyDescent="0.35">
      <c r="D1188" s="26"/>
    </row>
    <row r="1189" spans="4:4" x14ac:dyDescent="0.35">
      <c r="D1189" s="26"/>
    </row>
    <row r="1190" spans="4:4" x14ac:dyDescent="0.35">
      <c r="D1190" s="26"/>
    </row>
    <row r="1191" spans="4:4" x14ac:dyDescent="0.35">
      <c r="D1191" s="26"/>
    </row>
    <row r="1192" spans="4:4" x14ac:dyDescent="0.35">
      <c r="D1192" s="26"/>
    </row>
    <row r="1193" spans="4:4" x14ac:dyDescent="0.35">
      <c r="D1193" s="26"/>
    </row>
    <row r="1194" spans="4:4" x14ac:dyDescent="0.35">
      <c r="D1194" s="26"/>
    </row>
    <row r="1195" spans="4:4" x14ac:dyDescent="0.35">
      <c r="D1195" s="26"/>
    </row>
    <row r="1196" spans="4:4" x14ac:dyDescent="0.35">
      <c r="D1196" s="26"/>
    </row>
    <row r="1197" spans="4:4" x14ac:dyDescent="0.35">
      <c r="D1197" s="26"/>
    </row>
    <row r="1198" spans="4:4" x14ac:dyDescent="0.35">
      <c r="D1198" s="26"/>
    </row>
    <row r="1199" spans="4:4" x14ac:dyDescent="0.35">
      <c r="D1199" s="26"/>
    </row>
    <row r="1200" spans="4:4" x14ac:dyDescent="0.35">
      <c r="D1200" s="26"/>
    </row>
    <row r="1201" spans="4:4" x14ac:dyDescent="0.35">
      <c r="D1201" s="26"/>
    </row>
    <row r="1202" spans="4:4" x14ac:dyDescent="0.35">
      <c r="D1202" s="26"/>
    </row>
    <row r="1203" spans="4:4" x14ac:dyDescent="0.35">
      <c r="D1203" s="26"/>
    </row>
    <row r="1204" spans="4:4" x14ac:dyDescent="0.35">
      <c r="D1204" s="26"/>
    </row>
    <row r="1205" spans="4:4" x14ac:dyDescent="0.35">
      <c r="D1205" s="26"/>
    </row>
    <row r="1206" spans="4:4" x14ac:dyDescent="0.35">
      <c r="D1206" s="26"/>
    </row>
    <row r="1207" spans="4:4" x14ac:dyDescent="0.35">
      <c r="D1207" s="26"/>
    </row>
    <row r="1208" spans="4:4" x14ac:dyDescent="0.35">
      <c r="D1208" s="26"/>
    </row>
    <row r="1209" spans="4:4" x14ac:dyDescent="0.35">
      <c r="D1209" s="26"/>
    </row>
    <row r="1210" spans="4:4" x14ac:dyDescent="0.35">
      <c r="D1210" s="26"/>
    </row>
    <row r="1211" spans="4:4" x14ac:dyDescent="0.35">
      <c r="D1211" s="26"/>
    </row>
    <row r="1212" spans="4:4" x14ac:dyDescent="0.35">
      <c r="D1212" s="26"/>
    </row>
    <row r="1213" spans="4:4" x14ac:dyDescent="0.35">
      <c r="D1213" s="26"/>
    </row>
    <row r="1214" spans="4:4" x14ac:dyDescent="0.35">
      <c r="D1214" s="26"/>
    </row>
    <row r="1215" spans="4:4" x14ac:dyDescent="0.35">
      <c r="D1215" s="26"/>
    </row>
    <row r="1216" spans="4:4" x14ac:dyDescent="0.35">
      <c r="D1216" s="26"/>
    </row>
    <row r="1217" spans="4:4" x14ac:dyDescent="0.35">
      <c r="D1217" s="26"/>
    </row>
    <row r="1218" spans="4:4" x14ac:dyDescent="0.35">
      <c r="D1218" s="26"/>
    </row>
    <row r="1219" spans="4:4" x14ac:dyDescent="0.35">
      <c r="D1219" s="26"/>
    </row>
    <row r="1220" spans="4:4" x14ac:dyDescent="0.35">
      <c r="D1220" s="26"/>
    </row>
    <row r="1221" spans="4:4" x14ac:dyDescent="0.35">
      <c r="D1221" s="26"/>
    </row>
    <row r="1222" spans="4:4" x14ac:dyDescent="0.35">
      <c r="D1222" s="26"/>
    </row>
    <row r="1223" spans="4:4" x14ac:dyDescent="0.35">
      <c r="D1223" s="26"/>
    </row>
    <row r="1224" spans="4:4" x14ac:dyDescent="0.35">
      <c r="D1224" s="26"/>
    </row>
    <row r="1225" spans="4:4" x14ac:dyDescent="0.35">
      <c r="D1225" s="26"/>
    </row>
    <row r="1226" spans="4:4" x14ac:dyDescent="0.35">
      <c r="D1226" s="26"/>
    </row>
    <row r="1227" spans="4:4" x14ac:dyDescent="0.35">
      <c r="D1227" s="26"/>
    </row>
    <row r="1228" spans="4:4" x14ac:dyDescent="0.35">
      <c r="D1228" s="26"/>
    </row>
    <row r="1229" spans="4:4" x14ac:dyDescent="0.35">
      <c r="D1229" s="26"/>
    </row>
    <row r="1230" spans="4:4" x14ac:dyDescent="0.35">
      <c r="D1230" s="26"/>
    </row>
    <row r="1231" spans="4:4" x14ac:dyDescent="0.35">
      <c r="D1231" s="26"/>
    </row>
    <row r="1232" spans="4:4" x14ac:dyDescent="0.35">
      <c r="D1232" s="26"/>
    </row>
    <row r="1233" spans="4:4" x14ac:dyDescent="0.35">
      <c r="D1233" s="26"/>
    </row>
    <row r="1234" spans="4:4" x14ac:dyDescent="0.35">
      <c r="D1234" s="26"/>
    </row>
    <row r="1235" spans="4:4" x14ac:dyDescent="0.35">
      <c r="D1235" s="26"/>
    </row>
    <row r="1236" spans="4:4" x14ac:dyDescent="0.35">
      <c r="D1236" s="26"/>
    </row>
    <row r="1237" spans="4:4" x14ac:dyDescent="0.35">
      <c r="D1237" s="26"/>
    </row>
    <row r="1238" spans="4:4" x14ac:dyDescent="0.35">
      <c r="D1238" s="26"/>
    </row>
    <row r="1239" spans="4:4" x14ac:dyDescent="0.35">
      <c r="D1239" s="26"/>
    </row>
    <row r="1240" spans="4:4" x14ac:dyDescent="0.35">
      <c r="D1240" s="26"/>
    </row>
    <row r="1241" spans="4:4" x14ac:dyDescent="0.35">
      <c r="D1241" s="26"/>
    </row>
    <row r="1242" spans="4:4" x14ac:dyDescent="0.35">
      <c r="D1242" s="26"/>
    </row>
    <row r="1243" spans="4:4" x14ac:dyDescent="0.35">
      <c r="D1243" s="26"/>
    </row>
    <row r="1244" spans="4:4" x14ac:dyDescent="0.35">
      <c r="D1244" s="26"/>
    </row>
    <row r="1245" spans="4:4" x14ac:dyDescent="0.35">
      <c r="D1245" s="26"/>
    </row>
    <row r="1246" spans="4:4" x14ac:dyDescent="0.35">
      <c r="D1246" s="26"/>
    </row>
    <row r="1247" spans="4:4" x14ac:dyDescent="0.35">
      <c r="D1247" s="26"/>
    </row>
    <row r="1248" spans="4:4" x14ac:dyDescent="0.35">
      <c r="D1248" s="26"/>
    </row>
    <row r="1249" spans="4:4" x14ac:dyDescent="0.35">
      <c r="D1249" s="26"/>
    </row>
    <row r="1250" spans="4:4" x14ac:dyDescent="0.35">
      <c r="D1250" s="26"/>
    </row>
    <row r="1251" spans="4:4" x14ac:dyDescent="0.35">
      <c r="D1251" s="26"/>
    </row>
    <row r="1252" spans="4:4" x14ac:dyDescent="0.35">
      <c r="D1252" s="26"/>
    </row>
    <row r="1253" spans="4:4" x14ac:dyDescent="0.35">
      <c r="D1253" s="26"/>
    </row>
    <row r="1254" spans="4:4" x14ac:dyDescent="0.35">
      <c r="D1254" s="26"/>
    </row>
    <row r="1255" spans="4:4" x14ac:dyDescent="0.35">
      <c r="D1255" s="26"/>
    </row>
    <row r="1256" spans="4:4" x14ac:dyDescent="0.35">
      <c r="D1256" s="26"/>
    </row>
    <row r="1257" spans="4:4" x14ac:dyDescent="0.35">
      <c r="D1257" s="26"/>
    </row>
    <row r="1258" spans="4:4" x14ac:dyDescent="0.35">
      <c r="D1258" s="26"/>
    </row>
    <row r="1259" spans="4:4" x14ac:dyDescent="0.35">
      <c r="D1259" s="26"/>
    </row>
    <row r="1260" spans="4:4" x14ac:dyDescent="0.35">
      <c r="D1260" s="26"/>
    </row>
    <row r="1261" spans="4:4" x14ac:dyDescent="0.35">
      <c r="D1261" s="26"/>
    </row>
    <row r="1262" spans="4:4" x14ac:dyDescent="0.35">
      <c r="D1262" s="26"/>
    </row>
    <row r="1263" spans="4:4" x14ac:dyDescent="0.35">
      <c r="D1263" s="26"/>
    </row>
    <row r="1264" spans="4:4" x14ac:dyDescent="0.35">
      <c r="D1264" s="26"/>
    </row>
    <row r="1265" spans="4:4" x14ac:dyDescent="0.35">
      <c r="D1265" s="26"/>
    </row>
    <row r="1266" spans="4:4" x14ac:dyDescent="0.35">
      <c r="D1266" s="26"/>
    </row>
    <row r="1267" spans="4:4" x14ac:dyDescent="0.35">
      <c r="D1267" s="26"/>
    </row>
    <row r="1268" spans="4:4" x14ac:dyDescent="0.35">
      <c r="D1268" s="26"/>
    </row>
    <row r="1269" spans="4:4" x14ac:dyDescent="0.35">
      <c r="D1269" s="26"/>
    </row>
    <row r="1270" spans="4:4" x14ac:dyDescent="0.35">
      <c r="D1270" s="26"/>
    </row>
    <row r="1271" spans="4:4" x14ac:dyDescent="0.35">
      <c r="D1271" s="26"/>
    </row>
    <row r="1272" spans="4:4" x14ac:dyDescent="0.35">
      <c r="D1272" s="26"/>
    </row>
    <row r="1273" spans="4:4" x14ac:dyDescent="0.35">
      <c r="D1273" s="26"/>
    </row>
    <row r="1274" spans="4:4" x14ac:dyDescent="0.35">
      <c r="D1274" s="26"/>
    </row>
    <row r="1275" spans="4:4" x14ac:dyDescent="0.35">
      <c r="D1275" s="26"/>
    </row>
    <row r="1276" spans="4:4" x14ac:dyDescent="0.35">
      <c r="D1276" s="26"/>
    </row>
    <row r="1277" spans="4:4" x14ac:dyDescent="0.35">
      <c r="D1277" s="26"/>
    </row>
    <row r="1278" spans="4:4" x14ac:dyDescent="0.35">
      <c r="D1278" s="26"/>
    </row>
    <row r="1279" spans="4:4" x14ac:dyDescent="0.35">
      <c r="D1279" s="26"/>
    </row>
    <row r="1280" spans="4:4" x14ac:dyDescent="0.35">
      <c r="D1280" s="26"/>
    </row>
    <row r="1281" spans="4:4" x14ac:dyDescent="0.35">
      <c r="D1281" s="26"/>
    </row>
    <row r="1282" spans="4:4" x14ac:dyDescent="0.35">
      <c r="D1282" s="26"/>
    </row>
    <row r="1283" spans="4:4" x14ac:dyDescent="0.35">
      <c r="D1283" s="26"/>
    </row>
    <row r="1284" spans="4:4" x14ac:dyDescent="0.35">
      <c r="D1284" s="26"/>
    </row>
    <row r="1285" spans="4:4" x14ac:dyDescent="0.35">
      <c r="D1285" s="26"/>
    </row>
    <row r="1286" spans="4:4" x14ac:dyDescent="0.35">
      <c r="D1286" s="26"/>
    </row>
    <row r="1287" spans="4:4" x14ac:dyDescent="0.35">
      <c r="D1287" s="26"/>
    </row>
    <row r="1288" spans="4:4" x14ac:dyDescent="0.35">
      <c r="D1288" s="26"/>
    </row>
    <row r="1289" spans="4:4" x14ac:dyDescent="0.35">
      <c r="D1289" s="26"/>
    </row>
    <row r="1290" spans="4:4" x14ac:dyDescent="0.35">
      <c r="D1290" s="26"/>
    </row>
    <row r="1291" spans="4:4" x14ac:dyDescent="0.35">
      <c r="D1291" s="26"/>
    </row>
    <row r="1292" spans="4:4" x14ac:dyDescent="0.35">
      <c r="D1292" s="26"/>
    </row>
    <row r="1293" spans="4:4" x14ac:dyDescent="0.35">
      <c r="D1293" s="26"/>
    </row>
    <row r="1294" spans="4:4" x14ac:dyDescent="0.35">
      <c r="D1294" s="26"/>
    </row>
    <row r="1295" spans="4:4" x14ac:dyDescent="0.35">
      <c r="D1295" s="26"/>
    </row>
    <row r="1296" spans="4:4" x14ac:dyDescent="0.35">
      <c r="D1296" s="26"/>
    </row>
    <row r="1297" spans="4:4" x14ac:dyDescent="0.35">
      <c r="D1297" s="26"/>
    </row>
    <row r="1298" spans="4:4" x14ac:dyDescent="0.35">
      <c r="D1298" s="26"/>
    </row>
    <row r="1299" spans="4:4" x14ac:dyDescent="0.35">
      <c r="D1299" s="26"/>
    </row>
    <row r="1300" spans="4:4" x14ac:dyDescent="0.35">
      <c r="D1300" s="26"/>
    </row>
    <row r="1301" spans="4:4" x14ac:dyDescent="0.35">
      <c r="D1301" s="26"/>
    </row>
    <row r="1302" spans="4:4" x14ac:dyDescent="0.35">
      <c r="D1302" s="26"/>
    </row>
    <row r="1303" spans="4:4" x14ac:dyDescent="0.35">
      <c r="D1303" s="26"/>
    </row>
    <row r="1304" spans="4:4" x14ac:dyDescent="0.35">
      <c r="D1304" s="26"/>
    </row>
    <row r="1305" spans="4:4" x14ac:dyDescent="0.35">
      <c r="D1305" s="26"/>
    </row>
    <row r="1306" spans="4:4" x14ac:dyDescent="0.35">
      <c r="D1306" s="26"/>
    </row>
    <row r="1307" spans="4:4" x14ac:dyDescent="0.35">
      <c r="D1307" s="26"/>
    </row>
    <row r="1308" spans="4:4" x14ac:dyDescent="0.35">
      <c r="D1308" s="26"/>
    </row>
    <row r="1309" spans="4:4" x14ac:dyDescent="0.35">
      <c r="D1309" s="26"/>
    </row>
    <row r="1310" spans="4:4" x14ac:dyDescent="0.35">
      <c r="D1310" s="26"/>
    </row>
    <row r="1311" spans="4:4" x14ac:dyDescent="0.35">
      <c r="D1311" s="26"/>
    </row>
    <row r="1312" spans="4:4" x14ac:dyDescent="0.35">
      <c r="D1312" s="26"/>
    </row>
    <row r="1313" spans="4:4" x14ac:dyDescent="0.35">
      <c r="D1313" s="26"/>
    </row>
    <row r="1314" spans="4:4" x14ac:dyDescent="0.35">
      <c r="D1314" s="26"/>
    </row>
    <row r="1315" spans="4:4" x14ac:dyDescent="0.35">
      <c r="D1315" s="26"/>
    </row>
    <row r="1316" spans="4:4" x14ac:dyDescent="0.35">
      <c r="D1316" s="26"/>
    </row>
    <row r="1317" spans="4:4" x14ac:dyDescent="0.35">
      <c r="D1317" s="26"/>
    </row>
    <row r="1318" spans="4:4" x14ac:dyDescent="0.35">
      <c r="D1318" s="26"/>
    </row>
    <row r="1319" spans="4:4" x14ac:dyDescent="0.35">
      <c r="D1319" s="26"/>
    </row>
    <row r="1320" spans="4:4" x14ac:dyDescent="0.35">
      <c r="D1320" s="26"/>
    </row>
    <row r="1321" spans="4:4" x14ac:dyDescent="0.35">
      <c r="D1321" s="26"/>
    </row>
    <row r="1322" spans="4:4" x14ac:dyDescent="0.35">
      <c r="D1322" s="26"/>
    </row>
    <row r="1323" spans="4:4" x14ac:dyDescent="0.35">
      <c r="D1323" s="26"/>
    </row>
    <row r="1324" spans="4:4" x14ac:dyDescent="0.35">
      <c r="D1324" s="26"/>
    </row>
    <row r="1325" spans="4:4" x14ac:dyDescent="0.35">
      <c r="D1325" s="26"/>
    </row>
    <row r="1326" spans="4:4" x14ac:dyDescent="0.35">
      <c r="D1326" s="26"/>
    </row>
    <row r="1327" spans="4:4" x14ac:dyDescent="0.35">
      <c r="D1327" s="26"/>
    </row>
    <row r="1328" spans="4:4" x14ac:dyDescent="0.35">
      <c r="D1328" s="26"/>
    </row>
    <row r="1329" spans="4:4" x14ac:dyDescent="0.35">
      <c r="D1329" s="26"/>
    </row>
    <row r="1330" spans="4:4" x14ac:dyDescent="0.35">
      <c r="D1330" s="26"/>
    </row>
    <row r="1331" spans="4:4" x14ac:dyDescent="0.35">
      <c r="D1331" s="26"/>
    </row>
    <row r="1332" spans="4:4" x14ac:dyDescent="0.35">
      <c r="D1332" s="26"/>
    </row>
    <row r="1333" spans="4:4" x14ac:dyDescent="0.35">
      <c r="D1333" s="26"/>
    </row>
    <row r="1334" spans="4:4" x14ac:dyDescent="0.35">
      <c r="D1334" s="26"/>
    </row>
    <row r="1335" spans="4:4" x14ac:dyDescent="0.35">
      <c r="D1335" s="26"/>
    </row>
    <row r="1336" spans="4:4" x14ac:dyDescent="0.35">
      <c r="D1336" s="26"/>
    </row>
    <row r="1337" spans="4:4" x14ac:dyDescent="0.35">
      <c r="D1337" s="26"/>
    </row>
    <row r="1338" spans="4:4" x14ac:dyDescent="0.35">
      <c r="D1338" s="26"/>
    </row>
    <row r="1339" spans="4:4" x14ac:dyDescent="0.35">
      <c r="D1339" s="26"/>
    </row>
    <row r="1340" spans="4:4" x14ac:dyDescent="0.35">
      <c r="D1340" s="26"/>
    </row>
    <row r="1341" spans="4:4" x14ac:dyDescent="0.35">
      <c r="D1341" s="26"/>
    </row>
    <row r="1342" spans="4:4" x14ac:dyDescent="0.35">
      <c r="D1342" s="26"/>
    </row>
    <row r="1343" spans="4:4" x14ac:dyDescent="0.35">
      <c r="D1343" s="26"/>
    </row>
    <row r="1344" spans="4:4" x14ac:dyDescent="0.35">
      <c r="D1344" s="26"/>
    </row>
    <row r="1345" spans="4:4" x14ac:dyDescent="0.35">
      <c r="D1345" s="26"/>
    </row>
    <row r="1346" spans="4:4" x14ac:dyDescent="0.35">
      <c r="D1346" s="26"/>
    </row>
    <row r="1347" spans="4:4" x14ac:dyDescent="0.35">
      <c r="D1347" s="26"/>
    </row>
    <row r="1348" spans="4:4" x14ac:dyDescent="0.35">
      <c r="D1348" s="26"/>
    </row>
    <row r="1349" spans="4:4" x14ac:dyDescent="0.35">
      <c r="D1349" s="26"/>
    </row>
    <row r="1350" spans="4:4" x14ac:dyDescent="0.35">
      <c r="D1350" s="26"/>
    </row>
    <row r="1351" spans="4:4" x14ac:dyDescent="0.35">
      <c r="D1351" s="26"/>
    </row>
    <row r="1352" spans="4:4" x14ac:dyDescent="0.35">
      <c r="D1352" s="26"/>
    </row>
    <row r="1353" spans="4:4" x14ac:dyDescent="0.35">
      <c r="D1353" s="26"/>
    </row>
    <row r="1354" spans="4:4" x14ac:dyDescent="0.35">
      <c r="D1354" s="26"/>
    </row>
    <row r="1355" spans="4:4" x14ac:dyDescent="0.35">
      <c r="D1355" s="26"/>
    </row>
    <row r="1356" spans="4:4" x14ac:dyDescent="0.35">
      <c r="D1356" s="26"/>
    </row>
    <row r="1357" spans="4:4" x14ac:dyDescent="0.35">
      <c r="D1357" s="26"/>
    </row>
    <row r="1358" spans="4:4" x14ac:dyDescent="0.35">
      <c r="D1358" s="26"/>
    </row>
    <row r="1359" spans="4:4" x14ac:dyDescent="0.35">
      <c r="D1359" s="26"/>
    </row>
    <row r="1360" spans="4:4" x14ac:dyDescent="0.35">
      <c r="D1360" s="26"/>
    </row>
    <row r="1361" spans="4:4" x14ac:dyDescent="0.35">
      <c r="D1361" s="26"/>
    </row>
    <row r="1362" spans="4:4" x14ac:dyDescent="0.35">
      <c r="D1362" s="26"/>
    </row>
    <row r="1363" spans="4:4" x14ac:dyDescent="0.35">
      <c r="D1363" s="26"/>
    </row>
    <row r="1364" spans="4:4" x14ac:dyDescent="0.35">
      <c r="D1364" s="26"/>
    </row>
    <row r="1365" spans="4:4" x14ac:dyDescent="0.35">
      <c r="D1365" s="26"/>
    </row>
    <row r="1366" spans="4:4" x14ac:dyDescent="0.35">
      <c r="D1366" s="26"/>
    </row>
    <row r="1367" spans="4:4" x14ac:dyDescent="0.35">
      <c r="D1367" s="26"/>
    </row>
    <row r="1368" spans="4:4" x14ac:dyDescent="0.35">
      <c r="D1368" s="26"/>
    </row>
    <row r="1369" spans="4:4" x14ac:dyDescent="0.35">
      <c r="D1369" s="26"/>
    </row>
    <row r="1370" spans="4:4" x14ac:dyDescent="0.35">
      <c r="D1370" s="26"/>
    </row>
    <row r="1371" spans="4:4" x14ac:dyDescent="0.35">
      <c r="D1371" s="26"/>
    </row>
    <row r="1372" spans="4:4" x14ac:dyDescent="0.35">
      <c r="D1372" s="26"/>
    </row>
    <row r="1373" spans="4:4" x14ac:dyDescent="0.35">
      <c r="D1373" s="26"/>
    </row>
    <row r="1374" spans="4:4" x14ac:dyDescent="0.35">
      <c r="D1374" s="26"/>
    </row>
    <row r="1375" spans="4:4" x14ac:dyDescent="0.35">
      <c r="D1375" s="26"/>
    </row>
    <row r="1376" spans="4:4" x14ac:dyDescent="0.35">
      <c r="D1376" s="26"/>
    </row>
    <row r="1377" spans="4:4" x14ac:dyDescent="0.35">
      <c r="D1377" s="26"/>
    </row>
    <row r="1378" spans="4:4" x14ac:dyDescent="0.35">
      <c r="D1378" s="26"/>
    </row>
    <row r="1379" spans="4:4" x14ac:dyDescent="0.35">
      <c r="D1379" s="26"/>
    </row>
    <row r="1380" spans="4:4" x14ac:dyDescent="0.35">
      <c r="D1380" s="26"/>
    </row>
    <row r="1381" spans="4:4" x14ac:dyDescent="0.35">
      <c r="D1381" s="26"/>
    </row>
    <row r="1382" spans="4:4" x14ac:dyDescent="0.35">
      <c r="D1382" s="26"/>
    </row>
    <row r="1383" spans="4:4" x14ac:dyDescent="0.35">
      <c r="D1383" s="26"/>
    </row>
    <row r="1384" spans="4:4" x14ac:dyDescent="0.35">
      <c r="D1384" s="26"/>
    </row>
    <row r="1385" spans="4:4" x14ac:dyDescent="0.35">
      <c r="D1385" s="26"/>
    </row>
    <row r="1386" spans="4:4" x14ac:dyDescent="0.35">
      <c r="D1386" s="26"/>
    </row>
    <row r="1387" spans="4:4" x14ac:dyDescent="0.35">
      <c r="D1387" s="26"/>
    </row>
    <row r="1388" spans="4:4" x14ac:dyDescent="0.35">
      <c r="D1388" s="26"/>
    </row>
    <row r="1389" spans="4:4" x14ac:dyDescent="0.35">
      <c r="D1389" s="26"/>
    </row>
    <row r="1390" spans="4:4" x14ac:dyDescent="0.35">
      <c r="D1390" s="26"/>
    </row>
    <row r="1391" spans="4:4" x14ac:dyDescent="0.35">
      <c r="D1391" s="26"/>
    </row>
    <row r="1392" spans="4:4" x14ac:dyDescent="0.35">
      <c r="D1392" s="26"/>
    </row>
    <row r="1393" spans="4:4" x14ac:dyDescent="0.35">
      <c r="D1393" s="26"/>
    </row>
    <row r="1394" spans="4:4" x14ac:dyDescent="0.35">
      <c r="D1394" s="26"/>
    </row>
    <row r="1395" spans="4:4" x14ac:dyDescent="0.35">
      <c r="D1395" s="26"/>
    </row>
    <row r="1396" spans="4:4" x14ac:dyDescent="0.35">
      <c r="D1396" s="26"/>
    </row>
    <row r="1397" spans="4:4" x14ac:dyDescent="0.35">
      <c r="D1397" s="26"/>
    </row>
    <row r="1398" spans="4:4" x14ac:dyDescent="0.35">
      <c r="D1398" s="26"/>
    </row>
    <row r="1399" spans="4:4" x14ac:dyDescent="0.35">
      <c r="D1399" s="26"/>
    </row>
    <row r="1400" spans="4:4" x14ac:dyDescent="0.35">
      <c r="D1400" s="26"/>
    </row>
    <row r="1401" spans="4:4" x14ac:dyDescent="0.35">
      <c r="D1401" s="26"/>
    </row>
    <row r="1402" spans="4:4" x14ac:dyDescent="0.35">
      <c r="D1402" s="26"/>
    </row>
    <row r="1403" spans="4:4" x14ac:dyDescent="0.35">
      <c r="D1403" s="26"/>
    </row>
    <row r="1404" spans="4:4" x14ac:dyDescent="0.35">
      <c r="D1404" s="26"/>
    </row>
    <row r="1405" spans="4:4" x14ac:dyDescent="0.35">
      <c r="D1405" s="26"/>
    </row>
    <row r="1406" spans="4:4" x14ac:dyDescent="0.35">
      <c r="D1406" s="26"/>
    </row>
    <row r="1407" spans="4:4" x14ac:dyDescent="0.35">
      <c r="D1407" s="26"/>
    </row>
    <row r="1408" spans="4:4" x14ac:dyDescent="0.35">
      <c r="D1408" s="26"/>
    </row>
    <row r="1409" spans="4:4" x14ac:dyDescent="0.35">
      <c r="D1409" s="26"/>
    </row>
    <row r="1410" spans="4:4" x14ac:dyDescent="0.35">
      <c r="D1410" s="26"/>
    </row>
    <row r="1411" spans="4:4" x14ac:dyDescent="0.35">
      <c r="D1411" s="26"/>
    </row>
    <row r="1412" spans="4:4" x14ac:dyDescent="0.35">
      <c r="D1412" s="26"/>
    </row>
    <row r="1413" spans="4:4" x14ac:dyDescent="0.35">
      <c r="D1413" s="26"/>
    </row>
    <row r="1414" spans="4:4" x14ac:dyDescent="0.35">
      <c r="D1414" s="26"/>
    </row>
    <row r="1415" spans="4:4" x14ac:dyDescent="0.35">
      <c r="D1415" s="26"/>
    </row>
    <row r="1416" spans="4:4" x14ac:dyDescent="0.35">
      <c r="D1416" s="26"/>
    </row>
    <row r="1417" spans="4:4" x14ac:dyDescent="0.35">
      <c r="D1417" s="26"/>
    </row>
    <row r="1418" spans="4:4" x14ac:dyDescent="0.35">
      <c r="D1418" s="26"/>
    </row>
    <row r="1419" spans="4:4" x14ac:dyDescent="0.35">
      <c r="D1419" s="26"/>
    </row>
    <row r="1420" spans="4:4" x14ac:dyDescent="0.35">
      <c r="D1420" s="26"/>
    </row>
    <row r="1421" spans="4:4" x14ac:dyDescent="0.35">
      <c r="D1421" s="26"/>
    </row>
    <row r="1422" spans="4:4" x14ac:dyDescent="0.35">
      <c r="D1422" s="26"/>
    </row>
    <row r="1423" spans="4:4" x14ac:dyDescent="0.35">
      <c r="D1423" s="26"/>
    </row>
    <row r="1424" spans="4:4" x14ac:dyDescent="0.35">
      <c r="D1424" s="26"/>
    </row>
    <row r="1425" spans="4:4" x14ac:dyDescent="0.35">
      <c r="D1425" s="26"/>
    </row>
    <row r="1426" spans="4:4" x14ac:dyDescent="0.35">
      <c r="D1426" s="26"/>
    </row>
    <row r="1427" spans="4:4" x14ac:dyDescent="0.35">
      <c r="D1427" s="26"/>
    </row>
    <row r="1428" spans="4:4" x14ac:dyDescent="0.35">
      <c r="D1428" s="26"/>
    </row>
    <row r="1429" spans="4:4" x14ac:dyDescent="0.35">
      <c r="D1429" s="26"/>
    </row>
    <row r="1430" spans="4:4" x14ac:dyDescent="0.35">
      <c r="D1430" s="26"/>
    </row>
    <row r="1431" spans="4:4" x14ac:dyDescent="0.35">
      <c r="D1431" s="26"/>
    </row>
    <row r="1432" spans="4:4" x14ac:dyDescent="0.35">
      <c r="D1432" s="26"/>
    </row>
    <row r="1433" spans="4:4" x14ac:dyDescent="0.35">
      <c r="D1433" s="26"/>
    </row>
    <row r="1434" spans="4:4" x14ac:dyDescent="0.35">
      <c r="D1434" s="26"/>
    </row>
    <row r="1435" spans="4:4" x14ac:dyDescent="0.35">
      <c r="D1435" s="26"/>
    </row>
    <row r="1436" spans="4:4" x14ac:dyDescent="0.35">
      <c r="D1436" s="26"/>
    </row>
    <row r="1437" spans="4:4" x14ac:dyDescent="0.35">
      <c r="D1437" s="26"/>
    </row>
    <row r="1438" spans="4:4" x14ac:dyDescent="0.35">
      <c r="D1438" s="26"/>
    </row>
    <row r="1439" spans="4:4" x14ac:dyDescent="0.35">
      <c r="D1439" s="26"/>
    </row>
    <row r="1440" spans="4:4" x14ac:dyDescent="0.35">
      <c r="D1440" s="26"/>
    </row>
    <row r="1441" spans="4:4" x14ac:dyDescent="0.35">
      <c r="D1441" s="26"/>
    </row>
    <row r="1442" spans="4:4" x14ac:dyDescent="0.35">
      <c r="D1442" s="26"/>
    </row>
    <row r="1443" spans="4:4" x14ac:dyDescent="0.35">
      <c r="D1443" s="26"/>
    </row>
    <row r="1444" spans="4:4" x14ac:dyDescent="0.35">
      <c r="D1444" s="26"/>
    </row>
    <row r="1445" spans="4:4" x14ac:dyDescent="0.35">
      <c r="D1445" s="26"/>
    </row>
    <row r="1446" spans="4:4" x14ac:dyDescent="0.35">
      <c r="D1446" s="26"/>
    </row>
    <row r="1447" spans="4:4" x14ac:dyDescent="0.35">
      <c r="D1447" s="26"/>
    </row>
    <row r="1448" spans="4:4" x14ac:dyDescent="0.35">
      <c r="D1448" s="26"/>
    </row>
    <row r="1449" spans="4:4" x14ac:dyDescent="0.35">
      <c r="D1449" s="26"/>
    </row>
    <row r="1450" spans="4:4" x14ac:dyDescent="0.35">
      <c r="D1450" s="26"/>
    </row>
    <row r="1451" spans="4:4" x14ac:dyDescent="0.35">
      <c r="D1451" s="26"/>
    </row>
    <row r="1452" spans="4:4" x14ac:dyDescent="0.35">
      <c r="D1452" s="26"/>
    </row>
    <row r="1453" spans="4:4" x14ac:dyDescent="0.35">
      <c r="D1453" s="26"/>
    </row>
    <row r="1454" spans="4:4" x14ac:dyDescent="0.35">
      <c r="D1454" s="26"/>
    </row>
    <row r="1455" spans="4:4" x14ac:dyDescent="0.35">
      <c r="D1455" s="26"/>
    </row>
    <row r="1456" spans="4:4" x14ac:dyDescent="0.35">
      <c r="D1456" s="26"/>
    </row>
    <row r="1457" spans="4:4" x14ac:dyDescent="0.35">
      <c r="D1457" s="26"/>
    </row>
    <row r="1458" spans="4:4" x14ac:dyDescent="0.35">
      <c r="D1458" s="26"/>
    </row>
    <row r="1459" spans="4:4" x14ac:dyDescent="0.35">
      <c r="D1459" s="26"/>
    </row>
    <row r="1460" spans="4:4" x14ac:dyDescent="0.35">
      <c r="D1460" s="26"/>
    </row>
    <row r="1461" spans="4:4" x14ac:dyDescent="0.35">
      <c r="D1461" s="26"/>
    </row>
    <row r="1462" spans="4:4" x14ac:dyDescent="0.35">
      <c r="D1462" s="26"/>
    </row>
    <row r="1463" spans="4:4" x14ac:dyDescent="0.35">
      <c r="D1463" s="26"/>
    </row>
    <row r="1464" spans="4:4" x14ac:dyDescent="0.35">
      <c r="D1464" s="26"/>
    </row>
    <row r="1465" spans="4:4" x14ac:dyDescent="0.35">
      <c r="D1465" s="26"/>
    </row>
    <row r="1466" spans="4:4" x14ac:dyDescent="0.35">
      <c r="D1466" s="26"/>
    </row>
    <row r="1467" spans="4:4" x14ac:dyDescent="0.35">
      <c r="D1467" s="26"/>
    </row>
    <row r="1468" spans="4:4" x14ac:dyDescent="0.35">
      <c r="D1468" s="26"/>
    </row>
    <row r="1469" spans="4:4" x14ac:dyDescent="0.35">
      <c r="D1469" s="26"/>
    </row>
    <row r="1470" spans="4:4" x14ac:dyDescent="0.35">
      <c r="D1470" s="26"/>
    </row>
    <row r="1471" spans="4:4" x14ac:dyDescent="0.35">
      <c r="D1471" s="26"/>
    </row>
    <row r="1472" spans="4:4" x14ac:dyDescent="0.35">
      <c r="D1472" s="26"/>
    </row>
    <row r="1473" spans="4:4" x14ac:dyDescent="0.35">
      <c r="D1473" s="26"/>
    </row>
    <row r="1474" spans="4:4" x14ac:dyDescent="0.35">
      <c r="D1474" s="26"/>
    </row>
    <row r="1475" spans="4:4" x14ac:dyDescent="0.35">
      <c r="D1475" s="26"/>
    </row>
    <row r="1476" spans="4:4" x14ac:dyDescent="0.35">
      <c r="D1476" s="26"/>
    </row>
    <row r="1477" spans="4:4" x14ac:dyDescent="0.35">
      <c r="D1477" s="26"/>
    </row>
    <row r="1478" spans="4:4" x14ac:dyDescent="0.35">
      <c r="D1478" s="26"/>
    </row>
    <row r="1479" spans="4:4" x14ac:dyDescent="0.35">
      <c r="D1479" s="26"/>
    </row>
    <row r="1480" spans="4:4" x14ac:dyDescent="0.35">
      <c r="D1480" s="26"/>
    </row>
    <row r="1481" spans="4:4" x14ac:dyDescent="0.35">
      <c r="D1481" s="26"/>
    </row>
    <row r="1482" spans="4:4" x14ac:dyDescent="0.35">
      <c r="D1482" s="26"/>
    </row>
    <row r="1483" spans="4:4" x14ac:dyDescent="0.35">
      <c r="D1483" s="26"/>
    </row>
    <row r="1484" spans="4:4" x14ac:dyDescent="0.35">
      <c r="D1484" s="26"/>
    </row>
    <row r="1485" spans="4:4" x14ac:dyDescent="0.35">
      <c r="D1485" s="26"/>
    </row>
    <row r="1486" spans="4:4" x14ac:dyDescent="0.35">
      <c r="D1486" s="26"/>
    </row>
    <row r="1487" spans="4:4" x14ac:dyDescent="0.35">
      <c r="D1487" s="26"/>
    </row>
    <row r="1488" spans="4:4" x14ac:dyDescent="0.35">
      <c r="D1488" s="26"/>
    </row>
    <row r="1489" spans="4:4" x14ac:dyDescent="0.35">
      <c r="D1489" s="26"/>
    </row>
    <row r="1490" spans="4:4" x14ac:dyDescent="0.35">
      <c r="D1490" s="26"/>
    </row>
    <row r="1491" spans="4:4" x14ac:dyDescent="0.35">
      <c r="D1491" s="26"/>
    </row>
    <row r="1492" spans="4:4" x14ac:dyDescent="0.35">
      <c r="D1492" s="26"/>
    </row>
    <row r="1493" spans="4:4" x14ac:dyDescent="0.35">
      <c r="D1493" s="26"/>
    </row>
    <row r="1494" spans="4:4" x14ac:dyDescent="0.35">
      <c r="D1494" s="26"/>
    </row>
    <row r="1495" spans="4:4" x14ac:dyDescent="0.35">
      <c r="D1495" s="26"/>
    </row>
  </sheetData>
  <mergeCells count="3">
    <mergeCell ref="C2:H2"/>
    <mergeCell ref="K7:L7"/>
    <mergeCell ref="E74:G7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CF0ED-AEFF-43C5-A9DE-364A9F262C04}">
  <dimension ref="A1:E43"/>
  <sheetViews>
    <sheetView topLeftCell="A10" workbookViewId="0">
      <selection activeCell="F58" sqref="F58"/>
    </sheetView>
  </sheetViews>
  <sheetFormatPr defaultRowHeight="14.5" x14ac:dyDescent="0.35"/>
  <cols>
    <col min="1" max="1" width="4.26953125" bestFit="1" customWidth="1"/>
    <col min="2" max="2" width="19.81640625" bestFit="1" customWidth="1"/>
    <col min="3" max="3" width="17.81640625" bestFit="1" customWidth="1"/>
    <col min="4" max="4" width="19.81640625" bestFit="1" customWidth="1"/>
    <col min="5" max="5" width="17.81640625" bestFit="1" customWidth="1"/>
  </cols>
  <sheetData>
    <row r="1" spans="1:5" x14ac:dyDescent="0.35">
      <c r="A1" s="412" t="s">
        <v>101</v>
      </c>
      <c r="B1" s="412" t="s">
        <v>100</v>
      </c>
      <c r="C1" s="412" t="s">
        <v>99</v>
      </c>
      <c r="D1" s="412" t="s">
        <v>98</v>
      </c>
      <c r="E1" s="412" t="s">
        <v>97</v>
      </c>
    </row>
    <row r="2" spans="1:5" x14ac:dyDescent="0.35">
      <c r="A2">
        <v>2</v>
      </c>
      <c r="B2" s="411">
        <v>23656</v>
      </c>
      <c r="C2">
        <v>12.26</v>
      </c>
      <c r="D2" s="411">
        <v>24413</v>
      </c>
      <c r="E2">
        <v>12.65</v>
      </c>
    </row>
    <row r="3" spans="1:5" x14ac:dyDescent="0.35">
      <c r="A3">
        <v>3</v>
      </c>
      <c r="B3" s="411">
        <v>24027</v>
      </c>
      <c r="C3">
        <v>12.45</v>
      </c>
      <c r="D3" s="411">
        <v>24796</v>
      </c>
      <c r="E3">
        <v>12.85</v>
      </c>
    </row>
    <row r="4" spans="1:5" x14ac:dyDescent="0.35">
      <c r="A4">
        <v>4</v>
      </c>
      <c r="B4" s="411">
        <v>24404</v>
      </c>
      <c r="C4">
        <v>12.65</v>
      </c>
      <c r="D4" s="411">
        <v>25185</v>
      </c>
      <c r="E4">
        <v>13.05</v>
      </c>
    </row>
    <row r="5" spans="1:5" x14ac:dyDescent="0.35">
      <c r="A5">
        <v>5</v>
      </c>
      <c r="B5" s="411">
        <v>24790</v>
      </c>
      <c r="C5">
        <v>12.85</v>
      </c>
      <c r="D5" s="411">
        <v>25583</v>
      </c>
      <c r="E5">
        <v>13.26</v>
      </c>
    </row>
    <row r="6" spans="1:5" x14ac:dyDescent="0.35">
      <c r="A6">
        <v>6</v>
      </c>
      <c r="B6" s="411">
        <v>25183</v>
      </c>
      <c r="C6">
        <v>13.05</v>
      </c>
      <c r="D6" s="411">
        <v>25989</v>
      </c>
      <c r="E6">
        <v>13.47</v>
      </c>
    </row>
    <row r="7" spans="1:5" x14ac:dyDescent="0.35">
      <c r="A7">
        <v>7</v>
      </c>
      <c r="B7" s="411">
        <v>25584</v>
      </c>
      <c r="C7">
        <v>13.26</v>
      </c>
      <c r="D7" s="411">
        <v>26403</v>
      </c>
      <c r="E7">
        <v>13.69</v>
      </c>
    </row>
    <row r="8" spans="1:5" x14ac:dyDescent="0.35">
      <c r="A8">
        <v>8</v>
      </c>
      <c r="B8" s="411">
        <v>25992</v>
      </c>
      <c r="C8">
        <v>13.47</v>
      </c>
      <c r="D8" s="411">
        <v>26824</v>
      </c>
      <c r="E8">
        <v>13.9</v>
      </c>
    </row>
    <row r="9" spans="1:5" x14ac:dyDescent="0.35">
      <c r="A9">
        <v>9</v>
      </c>
      <c r="B9" s="411">
        <v>26409</v>
      </c>
      <c r="C9">
        <v>13.69</v>
      </c>
      <c r="D9" s="411">
        <v>27254</v>
      </c>
      <c r="E9">
        <v>14.13</v>
      </c>
    </row>
    <row r="10" spans="1:5" x14ac:dyDescent="0.35">
      <c r="A10">
        <v>10</v>
      </c>
      <c r="B10" s="411">
        <v>26835</v>
      </c>
      <c r="C10">
        <v>13.91</v>
      </c>
      <c r="D10" s="411">
        <v>27694</v>
      </c>
      <c r="E10">
        <v>14.35</v>
      </c>
    </row>
    <row r="11" spans="1:5" x14ac:dyDescent="0.35">
      <c r="A11">
        <v>11</v>
      </c>
      <c r="B11" s="411">
        <v>27269</v>
      </c>
      <c r="C11">
        <v>14.13</v>
      </c>
      <c r="D11" s="411">
        <v>28142</v>
      </c>
      <c r="E11">
        <v>14.59</v>
      </c>
    </row>
    <row r="12" spans="1:5" x14ac:dyDescent="0.35">
      <c r="A12">
        <v>12</v>
      </c>
      <c r="B12" s="411">
        <v>27711</v>
      </c>
      <c r="C12">
        <v>14.36</v>
      </c>
      <c r="D12" s="411">
        <v>28598</v>
      </c>
      <c r="E12">
        <v>14.82</v>
      </c>
    </row>
    <row r="13" spans="1:5" x14ac:dyDescent="0.35">
      <c r="A13">
        <v>13</v>
      </c>
      <c r="B13" s="411">
        <v>28163</v>
      </c>
      <c r="C13">
        <v>14.6</v>
      </c>
      <c r="D13" s="411">
        <v>29064</v>
      </c>
      <c r="E13">
        <v>15.06</v>
      </c>
    </row>
    <row r="14" spans="1:5" x14ac:dyDescent="0.35">
      <c r="A14">
        <v>14</v>
      </c>
      <c r="B14" s="411">
        <v>28624</v>
      </c>
      <c r="C14">
        <v>14.84</v>
      </c>
      <c r="D14" s="411">
        <v>29540</v>
      </c>
      <c r="E14">
        <v>15.31</v>
      </c>
    </row>
    <row r="15" spans="1:5" x14ac:dyDescent="0.35">
      <c r="A15">
        <v>15</v>
      </c>
      <c r="B15" s="411">
        <v>29093</v>
      </c>
      <c r="C15">
        <v>15.08</v>
      </c>
      <c r="D15" s="411">
        <v>30024</v>
      </c>
      <c r="E15">
        <v>15.56</v>
      </c>
    </row>
    <row r="16" spans="1:5" x14ac:dyDescent="0.35">
      <c r="A16">
        <v>16</v>
      </c>
      <c r="B16" s="411">
        <v>29572</v>
      </c>
      <c r="C16">
        <v>15.33</v>
      </c>
      <c r="D16" s="411">
        <v>30518</v>
      </c>
      <c r="E16">
        <v>15.82</v>
      </c>
    </row>
    <row r="17" spans="1:5" x14ac:dyDescent="0.35">
      <c r="A17">
        <v>17</v>
      </c>
      <c r="B17" s="411">
        <v>30060</v>
      </c>
      <c r="C17">
        <v>15.58</v>
      </c>
      <c r="D17" s="411">
        <v>31022</v>
      </c>
      <c r="E17">
        <v>16.079999999999998</v>
      </c>
    </row>
    <row r="18" spans="1:5" x14ac:dyDescent="0.35">
      <c r="A18">
        <v>18</v>
      </c>
      <c r="B18" s="411">
        <v>30559</v>
      </c>
      <c r="C18">
        <v>15.84</v>
      </c>
      <c r="D18" s="411">
        <v>31537</v>
      </c>
      <c r="E18">
        <v>16.350000000000001</v>
      </c>
    </row>
    <row r="19" spans="1:5" x14ac:dyDescent="0.35">
      <c r="A19">
        <v>19</v>
      </c>
      <c r="B19" s="411">
        <v>31067</v>
      </c>
      <c r="C19">
        <v>16.100000000000001</v>
      </c>
      <c r="D19" s="411">
        <v>32061</v>
      </c>
      <c r="E19">
        <v>16.62</v>
      </c>
    </row>
    <row r="20" spans="1:5" x14ac:dyDescent="0.35">
      <c r="A20">
        <v>20</v>
      </c>
      <c r="B20" s="411">
        <v>31586</v>
      </c>
      <c r="C20">
        <v>16.37</v>
      </c>
      <c r="D20" s="411">
        <v>32597</v>
      </c>
      <c r="E20">
        <v>16.899999999999999</v>
      </c>
    </row>
    <row r="21" spans="1:5" x14ac:dyDescent="0.35">
      <c r="A21">
        <v>21</v>
      </c>
      <c r="B21" s="411">
        <v>32115</v>
      </c>
      <c r="C21">
        <v>16.649999999999999</v>
      </c>
      <c r="D21" s="411">
        <v>33143</v>
      </c>
      <c r="E21">
        <v>17.18</v>
      </c>
    </row>
    <row r="22" spans="1:5" x14ac:dyDescent="0.35">
      <c r="A22">
        <v>22</v>
      </c>
      <c r="B22" s="411">
        <v>32654</v>
      </c>
      <c r="C22">
        <v>16.93</v>
      </c>
      <c r="D22" s="411">
        <v>33699</v>
      </c>
      <c r="E22">
        <v>17.47</v>
      </c>
    </row>
    <row r="23" spans="1:5" x14ac:dyDescent="0.35">
      <c r="A23">
        <v>23</v>
      </c>
      <c r="B23" s="411">
        <v>33366</v>
      </c>
      <c r="C23">
        <v>17.29</v>
      </c>
      <c r="D23" s="411">
        <v>34434</v>
      </c>
      <c r="E23">
        <v>17.850000000000001</v>
      </c>
    </row>
    <row r="24" spans="1:5" x14ac:dyDescent="0.35">
      <c r="A24">
        <v>24</v>
      </c>
      <c r="B24" s="411">
        <v>34314</v>
      </c>
      <c r="C24">
        <v>17.79</v>
      </c>
      <c r="D24" s="411">
        <v>35412</v>
      </c>
      <c r="E24">
        <v>18.350000000000001</v>
      </c>
    </row>
    <row r="25" spans="1:5" x14ac:dyDescent="0.35">
      <c r="A25">
        <v>25</v>
      </c>
      <c r="B25" s="411">
        <v>35235</v>
      </c>
      <c r="C25">
        <v>18.260000000000002</v>
      </c>
      <c r="D25" s="411">
        <v>36363</v>
      </c>
      <c r="E25">
        <v>18.850000000000001</v>
      </c>
    </row>
    <row r="26" spans="1:5" x14ac:dyDescent="0.35">
      <c r="A26">
        <v>26</v>
      </c>
      <c r="B26" s="411">
        <v>36124</v>
      </c>
      <c r="C26">
        <v>18.72</v>
      </c>
      <c r="D26" s="411">
        <v>37280</v>
      </c>
      <c r="E26">
        <v>19.32</v>
      </c>
    </row>
    <row r="27" spans="1:5" x14ac:dyDescent="0.35">
      <c r="A27">
        <v>27</v>
      </c>
      <c r="B27" s="411">
        <v>37035</v>
      </c>
      <c r="C27">
        <v>19.2</v>
      </c>
      <c r="D27" s="411">
        <v>38220</v>
      </c>
      <c r="E27">
        <v>19.809999999999999</v>
      </c>
    </row>
    <row r="28" spans="1:5" x14ac:dyDescent="0.35">
      <c r="A28">
        <v>28</v>
      </c>
      <c r="B28" s="411">
        <v>37938</v>
      </c>
      <c r="C28">
        <v>19.66</v>
      </c>
      <c r="D28" s="411">
        <v>39152</v>
      </c>
      <c r="E28">
        <v>20.29</v>
      </c>
    </row>
    <row r="29" spans="1:5" x14ac:dyDescent="0.35">
      <c r="A29">
        <v>29</v>
      </c>
      <c r="B29" s="411">
        <v>38626</v>
      </c>
      <c r="C29">
        <v>20.02</v>
      </c>
      <c r="D29" s="411">
        <v>39862</v>
      </c>
      <c r="E29">
        <v>20.66</v>
      </c>
    </row>
    <row r="30" spans="1:5" x14ac:dyDescent="0.35">
      <c r="A30">
        <v>30</v>
      </c>
      <c r="B30" s="411">
        <v>39513</v>
      </c>
      <c r="C30">
        <v>20.48</v>
      </c>
      <c r="D30" s="411">
        <v>40777</v>
      </c>
      <c r="E30">
        <v>21.14</v>
      </c>
    </row>
    <row r="31" spans="1:5" x14ac:dyDescent="0.35">
      <c r="A31">
        <v>31</v>
      </c>
      <c r="B31" s="411">
        <v>40476</v>
      </c>
      <c r="C31">
        <v>20.98</v>
      </c>
      <c r="D31" s="411">
        <v>41771</v>
      </c>
      <c r="E31">
        <v>21.65</v>
      </c>
    </row>
    <row r="32" spans="1:5" x14ac:dyDescent="0.35">
      <c r="A32">
        <v>32</v>
      </c>
      <c r="B32" s="411">
        <v>41511</v>
      </c>
      <c r="C32">
        <v>21.52</v>
      </c>
      <c r="D32" s="411">
        <v>42839</v>
      </c>
      <c r="E32">
        <v>22.2</v>
      </c>
    </row>
    <row r="33" spans="1:5" x14ac:dyDescent="0.35">
      <c r="A33">
        <v>33</v>
      </c>
      <c r="B33" s="411">
        <v>42708</v>
      </c>
      <c r="C33">
        <v>22.14</v>
      </c>
      <c r="D33" s="411">
        <v>44075</v>
      </c>
      <c r="E33">
        <v>22.85</v>
      </c>
    </row>
    <row r="34" spans="1:5" x14ac:dyDescent="0.35">
      <c r="A34">
        <v>34</v>
      </c>
      <c r="B34" s="411">
        <v>43693</v>
      </c>
      <c r="C34">
        <v>22.65</v>
      </c>
      <c r="D34" s="411">
        <v>45091</v>
      </c>
      <c r="E34">
        <v>23.37</v>
      </c>
    </row>
    <row r="35" spans="1:5" x14ac:dyDescent="0.35">
      <c r="A35">
        <v>35</v>
      </c>
      <c r="B35" s="411">
        <v>44711</v>
      </c>
      <c r="C35">
        <v>23.17</v>
      </c>
      <c r="D35" s="411">
        <v>46142</v>
      </c>
      <c r="E35">
        <v>23.92</v>
      </c>
    </row>
    <row r="36" spans="1:5" x14ac:dyDescent="0.35">
      <c r="A36">
        <v>36</v>
      </c>
      <c r="B36" s="411">
        <v>45718</v>
      </c>
      <c r="C36">
        <v>23.7</v>
      </c>
      <c r="D36" s="411">
        <v>47181</v>
      </c>
      <c r="E36">
        <v>24.46</v>
      </c>
    </row>
    <row r="37" spans="1:5" x14ac:dyDescent="0.35">
      <c r="A37">
        <v>37</v>
      </c>
      <c r="B37" s="411">
        <v>46731</v>
      </c>
      <c r="C37">
        <v>24.22</v>
      </c>
      <c r="D37" s="411">
        <v>48226</v>
      </c>
      <c r="E37">
        <v>25</v>
      </c>
    </row>
    <row r="38" spans="1:5" x14ac:dyDescent="0.35">
      <c r="A38">
        <v>38</v>
      </c>
      <c r="B38" s="411">
        <v>47754</v>
      </c>
      <c r="C38">
        <v>24.75</v>
      </c>
      <c r="D38" s="411">
        <v>49282</v>
      </c>
      <c r="E38">
        <v>25.54</v>
      </c>
    </row>
    <row r="39" spans="1:5" x14ac:dyDescent="0.35">
      <c r="A39">
        <v>39</v>
      </c>
      <c r="B39" s="411">
        <v>48710</v>
      </c>
      <c r="C39">
        <v>25.25</v>
      </c>
      <c r="D39" s="411">
        <v>50269</v>
      </c>
      <c r="E39">
        <v>26.06</v>
      </c>
    </row>
    <row r="40" spans="1:5" x14ac:dyDescent="0.35">
      <c r="A40">
        <v>40</v>
      </c>
      <c r="B40" s="411">
        <v>49764</v>
      </c>
      <c r="C40">
        <v>25.79</v>
      </c>
      <c r="D40" s="411">
        <v>51356</v>
      </c>
      <c r="E40">
        <v>26.62</v>
      </c>
    </row>
    <row r="41" spans="1:5" x14ac:dyDescent="0.35">
      <c r="A41">
        <v>41</v>
      </c>
      <c r="B41" s="411">
        <v>50788</v>
      </c>
      <c r="C41">
        <v>26.32</v>
      </c>
      <c r="D41" s="411">
        <v>52413</v>
      </c>
      <c r="E41">
        <v>27.17</v>
      </c>
    </row>
    <row r="42" spans="1:5" x14ac:dyDescent="0.35">
      <c r="A42">
        <v>42</v>
      </c>
      <c r="B42" s="411">
        <v>51802</v>
      </c>
      <c r="C42">
        <v>26.85</v>
      </c>
      <c r="D42" s="411">
        <v>53460</v>
      </c>
      <c r="E42">
        <v>27.71</v>
      </c>
    </row>
    <row r="43" spans="1:5" x14ac:dyDescent="0.35">
      <c r="A43">
        <v>43</v>
      </c>
      <c r="B43" s="411">
        <v>52805</v>
      </c>
      <c r="C43">
        <v>27.37</v>
      </c>
      <c r="D43" s="411">
        <v>54495</v>
      </c>
      <c r="E43">
        <v>28.25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47a13-f538-4f51-820b-1d5d7bc77811">
      <Terms xmlns="http://schemas.microsoft.com/office/infopath/2007/PartnerControls"/>
    </lcf76f155ced4ddcb4097134ff3c332f>
    <TaxCatchAll xmlns="de85ec7d-c4e9-4abe-ac4c-4d7951d33fa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0166FDBEA8CC44A6FC2ECB118C42EF" ma:contentTypeVersion="18" ma:contentTypeDescription="Create a new document." ma:contentTypeScope="" ma:versionID="4b2d3b2fea7850a2cbf8551309cc5647">
  <xsd:schema xmlns:xsd="http://www.w3.org/2001/XMLSchema" xmlns:xs="http://www.w3.org/2001/XMLSchema" xmlns:p="http://schemas.microsoft.com/office/2006/metadata/properties" xmlns:ns2="dc547a13-f538-4f51-820b-1d5d7bc77811" xmlns:ns3="de85ec7d-c4e9-4abe-ac4c-4d7951d33fa7" targetNamespace="http://schemas.microsoft.com/office/2006/metadata/properties" ma:root="true" ma:fieldsID="2495fca8989df43acd2fc8d921b1299c" ns2:_="" ns3:_="">
    <xsd:import namespace="dc547a13-f538-4f51-820b-1d5d7bc77811"/>
    <xsd:import namespace="de85ec7d-c4e9-4abe-ac4c-4d7951d33f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47a13-f538-4f51-820b-1d5d7bc778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c7224d2-ef8b-4f24-a653-614e8dd3dc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85ec7d-c4e9-4abe-ac4c-4d7951d33fa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40d162ee-303e-413d-b726-6812e3bb2a95}" ma:internalName="TaxCatchAll" ma:showField="CatchAllData" ma:web="de85ec7d-c4e9-4abe-ac4c-4d7951d33f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807AD7-8325-4B7C-9D6F-C964ABA9C7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674CBD-3523-44BA-938D-E2D5227AFB69}">
  <ds:schemaRefs>
    <ds:schemaRef ds:uri="http://schemas.microsoft.com/office/2006/metadata/properties"/>
    <ds:schemaRef ds:uri="http://schemas.microsoft.com/office/infopath/2007/PartnerControls"/>
    <ds:schemaRef ds:uri="dc547a13-f538-4f51-820b-1d5d7bc77811"/>
    <ds:schemaRef ds:uri="de85ec7d-c4e9-4abe-ac4c-4d7951d33fa7"/>
    <ds:schemaRef ds:uri="be894284-f518-4b87-a903-a15324813a1b"/>
    <ds:schemaRef ds:uri="7363eba1-d303-4db7-afe7-211d845a4f10"/>
  </ds:schemaRefs>
</ds:datastoreItem>
</file>

<file path=customXml/itemProps3.xml><?xml version="1.0" encoding="utf-8"?>
<ds:datastoreItem xmlns:ds="http://schemas.openxmlformats.org/officeDocument/2006/customXml" ds:itemID="{1735D4FB-4FB4-4A67-B9F8-B67F86EB3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47a13-f538-4f51-820b-1d5d7bc77811"/>
    <ds:schemaRef ds:uri="de85ec7d-c4e9-4abe-ac4c-4d7951d33f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April 18</vt:lpstr>
      <vt:lpstr>April 19</vt:lpstr>
      <vt:lpstr>April 20</vt:lpstr>
      <vt:lpstr>April 21</vt:lpstr>
      <vt:lpstr>April 22</vt:lpstr>
      <vt:lpstr>April 23</vt:lpstr>
      <vt:lpstr>April 23 interim</vt:lpstr>
      <vt:lpstr>April 24</vt:lpstr>
      <vt:lpstr>April 25</vt:lpstr>
      <vt:lpstr>April 26</vt:lpstr>
      <vt:lpstr>April 25 (Workings)</vt:lpstr>
      <vt:lpstr>2025 Circular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localprofile</dc:creator>
  <cp:lastModifiedBy>Sharon Haines</cp:lastModifiedBy>
  <cp:lastPrinted>2025-07-30T12:57:03Z</cp:lastPrinted>
  <dcterms:created xsi:type="dcterms:W3CDTF">2015-01-06T16:18:10Z</dcterms:created>
  <dcterms:modified xsi:type="dcterms:W3CDTF">2026-09-02T11:04:41Z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0x010100D50166FDBEA8CC44A6FC2ECB118C42EF</vt:lpwstr>
  </property>
</Properties>
</file>